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440" windowHeight="6435" tabRatio="736"/>
  </bookViews>
  <sheets>
    <sheet name="Ementas 1º período" sheetId="24" r:id="rId1"/>
    <sheet name="1 FTCarne" sheetId="14" r:id="rId2"/>
    <sheet name="2 FTPeixe" sheetId="15" r:id="rId3"/>
    <sheet name="3 FTSopas" sheetId="16" r:id="rId4"/>
    <sheet name="4 FTAcompanhamento" sheetId="17" r:id="rId5"/>
    <sheet name="5 FTsobremesas" sheetId="19" r:id="rId6"/>
    <sheet name="6 FTsaladas&amp;legumes" sheetId="18" r:id="rId7"/>
  </sheets>
  <definedNames>
    <definedName name="_xlnm._FilterDatabase" localSheetId="0" hidden="1">'Ementas 1º período'!$A$4:$M$434</definedName>
    <definedName name="_GoBack" localSheetId="1">'1 FTCarne'!#REF!</definedName>
    <definedName name="_xlnm.Print_Area" localSheetId="1">'1 FTCarne'!$A$1:$E$7</definedName>
    <definedName name="_xlnm.Print_Area" localSheetId="0">'Ementas 1º período'!$A$1:$M$583</definedName>
    <definedName name="_xlnm.Print_Titles" localSheetId="1">'1 FTCarne'!$1:$7</definedName>
    <definedName name="_xlnm.Print_Titles" localSheetId="2">'2 FTPeixe'!$1:$6</definedName>
    <definedName name="_xlnm.Print_Titles" localSheetId="0">'Ementas 1º período'!$1:$2</definedName>
  </definedNames>
  <calcPr calcId="145621"/>
</workbook>
</file>

<file path=xl/calcChain.xml><?xml version="1.0" encoding="utf-8"?>
<calcChain xmlns="http://schemas.openxmlformats.org/spreadsheetml/2006/main">
  <c r="M565" i="24"/>
  <c r="L565"/>
  <c r="I565"/>
  <c r="H565"/>
  <c r="G565"/>
  <c r="F565"/>
  <c r="L558"/>
  <c r="K558"/>
  <c r="J558"/>
  <c r="G558"/>
  <c r="F558"/>
  <c r="L551"/>
  <c r="K551"/>
  <c r="J551"/>
  <c r="I551"/>
  <c r="H551"/>
  <c r="G551"/>
  <c r="F551"/>
  <c r="L536"/>
  <c r="H536"/>
  <c r="G536"/>
  <c r="F536"/>
  <c r="L529"/>
  <c r="K529"/>
  <c r="J529"/>
  <c r="I529"/>
  <c r="H529"/>
  <c r="G529"/>
  <c r="F529"/>
  <c r="L522"/>
  <c r="K522"/>
  <c r="J522"/>
  <c r="I522"/>
  <c r="H522"/>
  <c r="G522"/>
  <c r="F522"/>
  <c r="L515"/>
  <c r="K515"/>
  <c r="J515"/>
  <c r="I515"/>
  <c r="H515"/>
  <c r="G515"/>
  <c r="F515"/>
  <c r="L499"/>
  <c r="K499"/>
  <c r="J499"/>
  <c r="I499"/>
  <c r="H499"/>
  <c r="G499"/>
  <c r="F499"/>
  <c r="L485"/>
  <c r="I485"/>
  <c r="H485"/>
  <c r="G485"/>
  <c r="F485"/>
  <c r="L478"/>
  <c r="J478"/>
  <c r="I478"/>
  <c r="H478"/>
  <c r="G478"/>
  <c r="F478"/>
  <c r="L463"/>
  <c r="I463"/>
  <c r="H463"/>
  <c r="G463"/>
  <c r="F463"/>
  <c r="L456"/>
  <c r="K456"/>
  <c r="J456"/>
  <c r="G456"/>
  <c r="F456"/>
  <c r="L449"/>
  <c r="H449"/>
  <c r="G449"/>
  <c r="F449"/>
  <c r="M427"/>
  <c r="L427"/>
  <c r="K427"/>
  <c r="J427"/>
  <c r="H427"/>
  <c r="G427"/>
  <c r="F427"/>
  <c r="M420"/>
  <c r="L420"/>
  <c r="I420"/>
  <c r="H420"/>
  <c r="G420"/>
  <c r="F420"/>
  <c r="L413"/>
  <c r="K413"/>
  <c r="J413"/>
  <c r="G413"/>
  <c r="F413"/>
  <c r="L406"/>
  <c r="K406"/>
  <c r="J406"/>
  <c r="H406"/>
  <c r="G406"/>
  <c r="F406"/>
  <c r="L346"/>
  <c r="K346"/>
  <c r="J346"/>
  <c r="I346"/>
  <c r="H346"/>
  <c r="G346"/>
  <c r="F346"/>
  <c r="L339"/>
  <c r="I339"/>
  <c r="H339"/>
  <c r="G339"/>
  <c r="F339"/>
  <c r="L317"/>
  <c r="K317"/>
  <c r="J317"/>
  <c r="I317"/>
  <c r="H317"/>
  <c r="G317"/>
  <c r="F317"/>
  <c r="L303"/>
  <c r="K303"/>
  <c r="J303"/>
  <c r="I303"/>
  <c r="H303"/>
  <c r="G303"/>
  <c r="F303"/>
  <c r="L288"/>
  <c r="K288"/>
  <c r="J288"/>
  <c r="I288"/>
  <c r="H288"/>
  <c r="G288"/>
  <c r="F288"/>
  <c r="L281"/>
  <c r="K281"/>
  <c r="J281"/>
  <c r="I281"/>
  <c r="H281"/>
  <c r="G281"/>
  <c r="F281"/>
  <c r="L274"/>
  <c r="K274"/>
  <c r="J274"/>
  <c r="H274"/>
  <c r="G274"/>
  <c r="F274"/>
  <c r="L260"/>
  <c r="H260"/>
  <c r="G260"/>
  <c r="F260"/>
  <c r="L245"/>
  <c r="K245"/>
  <c r="J245"/>
  <c r="H245"/>
  <c r="G245"/>
  <c r="F245"/>
  <c r="I238"/>
  <c r="H238"/>
  <c r="G238"/>
  <c r="F238"/>
  <c r="L216"/>
  <c r="K216"/>
  <c r="J216"/>
  <c r="I216"/>
  <c r="H216"/>
  <c r="G216"/>
  <c r="F216"/>
  <c r="L209"/>
  <c r="K209"/>
  <c r="J209"/>
  <c r="I209"/>
  <c r="H209"/>
  <c r="G209"/>
  <c r="F209"/>
  <c r="L202"/>
  <c r="I202"/>
  <c r="H202"/>
  <c r="G202"/>
  <c r="F202"/>
  <c r="L180"/>
  <c r="I180"/>
  <c r="H180"/>
  <c r="G180"/>
  <c r="F180"/>
  <c r="M166"/>
  <c r="L166"/>
  <c r="J166"/>
  <c r="I166"/>
  <c r="H166"/>
  <c r="G166"/>
  <c r="F166"/>
  <c r="L159"/>
  <c r="K159"/>
  <c r="J159"/>
  <c r="I159"/>
  <c r="H159"/>
  <c r="G159"/>
  <c r="F159"/>
  <c r="L152"/>
  <c r="K152"/>
  <c r="J152"/>
  <c r="I152"/>
  <c r="H152"/>
  <c r="G152"/>
  <c r="F152"/>
  <c r="M144"/>
  <c r="L144"/>
  <c r="K144"/>
  <c r="J144"/>
  <c r="G144"/>
  <c r="F144"/>
  <c r="L137"/>
  <c r="H137"/>
  <c r="G137"/>
  <c r="F137"/>
  <c r="L108"/>
  <c r="K108"/>
  <c r="J108"/>
  <c r="I108"/>
  <c r="H108"/>
  <c r="G108"/>
  <c r="F108"/>
  <c r="L94"/>
  <c r="I94"/>
  <c r="H94"/>
  <c r="G94"/>
  <c r="F94"/>
  <c r="L87"/>
  <c r="K87"/>
  <c r="J87"/>
  <c r="I87"/>
  <c r="H87"/>
  <c r="G87"/>
  <c r="F87"/>
  <c r="L80"/>
  <c r="K80"/>
  <c r="J80"/>
  <c r="I80"/>
  <c r="H80"/>
  <c r="G80"/>
  <c r="F80"/>
  <c r="L65"/>
  <c r="K65"/>
  <c r="J65"/>
  <c r="I65"/>
  <c r="H65"/>
  <c r="G65"/>
  <c r="F65"/>
  <c r="M58"/>
  <c r="L58"/>
  <c r="K58"/>
  <c r="J58"/>
  <c r="H58"/>
  <c r="G58"/>
  <c r="F58"/>
  <c r="L51"/>
  <c r="J51"/>
  <c r="I51"/>
  <c r="H51"/>
  <c r="G51"/>
  <c r="F51"/>
  <c r="L189"/>
  <c r="K189"/>
  <c r="J189"/>
  <c r="G189"/>
  <c r="F189"/>
  <c r="L52"/>
  <c r="K52"/>
  <c r="J52"/>
  <c r="H52"/>
  <c r="G52"/>
  <c r="F52"/>
  <c r="L479"/>
  <c r="K479"/>
  <c r="J479"/>
  <c r="G479"/>
  <c r="F479"/>
  <c r="L471"/>
  <c r="K471"/>
  <c r="J471"/>
  <c r="G471"/>
  <c r="F471"/>
  <c r="L464"/>
  <c r="K464"/>
  <c r="J464"/>
  <c r="G464"/>
  <c r="F464"/>
  <c r="L304"/>
  <c r="K304"/>
  <c r="J304"/>
  <c r="G304"/>
  <c r="F304"/>
  <c r="L297"/>
  <c r="K297"/>
  <c r="J297"/>
  <c r="H297"/>
  <c r="G297"/>
  <c r="F297"/>
  <c r="L289"/>
  <c r="K289"/>
  <c r="J289"/>
  <c r="G289"/>
  <c r="F289"/>
  <c r="L457"/>
  <c r="K457"/>
  <c r="J457"/>
  <c r="G457"/>
  <c r="F457"/>
  <c r="L450"/>
  <c r="K450"/>
  <c r="J450"/>
  <c r="G450"/>
  <c r="F450"/>
  <c r="L443"/>
  <c r="K443"/>
  <c r="J443"/>
  <c r="H443"/>
  <c r="G443"/>
  <c r="F443"/>
  <c r="L414"/>
  <c r="K414"/>
  <c r="J414"/>
  <c r="G414"/>
  <c r="F414"/>
  <c r="L361"/>
  <c r="K361"/>
  <c r="J361"/>
  <c r="G361"/>
  <c r="F361"/>
  <c r="L347"/>
  <c r="K347"/>
  <c r="J347"/>
  <c r="G347"/>
  <c r="F347"/>
  <c r="L318"/>
  <c r="K318"/>
  <c r="J318"/>
  <c r="H318"/>
  <c r="G318"/>
  <c r="F318"/>
  <c r="L516"/>
  <c r="K516"/>
  <c r="J516"/>
  <c r="H516"/>
  <c r="G516"/>
  <c r="F516"/>
  <c r="L253"/>
  <c r="K253"/>
  <c r="J253"/>
  <c r="H253"/>
  <c r="G253"/>
  <c r="F253"/>
  <c r="L486"/>
  <c r="K486"/>
  <c r="J486"/>
  <c r="G486"/>
  <c r="F486"/>
  <c r="L261"/>
  <c r="K261"/>
  <c r="J261"/>
  <c r="G261"/>
  <c r="F261"/>
  <c r="L246"/>
  <c r="K246"/>
  <c r="J246"/>
  <c r="G246"/>
  <c r="F246"/>
  <c r="L580"/>
  <c r="K580"/>
  <c r="J580"/>
  <c r="G580"/>
  <c r="F580"/>
  <c r="L552"/>
  <c r="K552"/>
  <c r="J552"/>
  <c r="G552"/>
  <c r="F552"/>
  <c r="L500"/>
  <c r="K500"/>
  <c r="J500"/>
  <c r="G500"/>
  <c r="F500"/>
  <c r="L493"/>
  <c r="K493"/>
  <c r="J493"/>
  <c r="G493"/>
  <c r="F493"/>
  <c r="L282"/>
  <c r="K282"/>
  <c r="J282"/>
  <c r="G282"/>
  <c r="F282"/>
  <c r="L340"/>
  <c r="K340"/>
  <c r="J340"/>
  <c r="G340"/>
  <c r="F340"/>
  <c r="L333"/>
  <c r="K333"/>
  <c r="J333"/>
  <c r="G333"/>
  <c r="F333"/>
  <c r="L435"/>
  <c r="K435"/>
  <c r="J435"/>
  <c r="G435"/>
  <c r="F435"/>
  <c r="L325"/>
  <c r="K325"/>
  <c r="J325"/>
  <c r="G325"/>
  <c r="F325"/>
  <c r="L428"/>
  <c r="K428"/>
  <c r="J428"/>
  <c r="G428"/>
  <c r="F428"/>
  <c r="L421"/>
  <c r="K421"/>
  <c r="J421"/>
  <c r="G421"/>
  <c r="F421"/>
  <c r="L407"/>
  <c r="K407"/>
  <c r="J407"/>
  <c r="G407"/>
  <c r="F407"/>
  <c r="L268"/>
  <c r="K268"/>
  <c r="J268"/>
  <c r="G268"/>
  <c r="F268"/>
  <c r="L559"/>
  <c r="K559"/>
  <c r="J559"/>
  <c r="G559"/>
  <c r="F559"/>
  <c r="L523"/>
  <c r="K523"/>
  <c r="J523"/>
  <c r="H523"/>
  <c r="G523"/>
  <c r="F523"/>
  <c r="L232"/>
  <c r="K232"/>
  <c r="J232"/>
  <c r="H232"/>
  <c r="G232"/>
  <c r="F232"/>
  <c r="L225"/>
  <c r="K225"/>
  <c r="J225"/>
  <c r="H225"/>
  <c r="G225"/>
  <c r="F225"/>
  <c r="L217"/>
  <c r="K217"/>
  <c r="J217"/>
  <c r="G217"/>
  <c r="F217"/>
  <c r="L537"/>
  <c r="K537"/>
  <c r="J537"/>
  <c r="G537"/>
  <c r="F537"/>
  <c r="L530"/>
  <c r="K530"/>
  <c r="J530"/>
  <c r="H530"/>
  <c r="G530"/>
  <c r="F530"/>
  <c r="L239"/>
  <c r="K239"/>
  <c r="J239"/>
  <c r="H239"/>
  <c r="G239"/>
  <c r="F239"/>
  <c r="L210"/>
  <c r="K210"/>
  <c r="J210"/>
  <c r="H210"/>
  <c r="G210"/>
  <c r="F210"/>
  <c r="L203"/>
  <c r="K203"/>
  <c r="J203"/>
  <c r="G203"/>
  <c r="F203"/>
  <c r="L196"/>
  <c r="K196"/>
  <c r="J196"/>
  <c r="G196"/>
  <c r="F196"/>
  <c r="L573"/>
  <c r="K573"/>
  <c r="J573"/>
  <c r="G573"/>
  <c r="F573"/>
  <c r="L181"/>
  <c r="K181"/>
  <c r="J181"/>
  <c r="G181"/>
  <c r="F181"/>
  <c r="L566"/>
  <c r="K566"/>
  <c r="J566"/>
  <c r="H566"/>
  <c r="G566"/>
  <c r="F566"/>
  <c r="L354"/>
  <c r="K354"/>
  <c r="J354"/>
  <c r="H354"/>
  <c r="G354"/>
  <c r="F354"/>
  <c r="L275"/>
  <c r="K275"/>
  <c r="J275"/>
  <c r="H275"/>
  <c r="G275"/>
  <c r="F275"/>
  <c r="L145"/>
  <c r="K145"/>
  <c r="J145"/>
  <c r="H145"/>
  <c r="G145"/>
  <c r="F145"/>
  <c r="L167"/>
  <c r="K167"/>
  <c r="J167"/>
  <c r="G167"/>
  <c r="F167"/>
  <c r="L160"/>
  <c r="K160"/>
  <c r="J160"/>
  <c r="G160"/>
  <c r="F160"/>
  <c r="L153"/>
  <c r="K153"/>
  <c r="J153"/>
  <c r="G153"/>
  <c r="F153"/>
  <c r="L138"/>
  <c r="K138"/>
  <c r="J138"/>
  <c r="G138"/>
  <c r="F138"/>
  <c r="L131"/>
  <c r="K131"/>
  <c r="J131"/>
  <c r="G131"/>
  <c r="F131"/>
  <c r="L124"/>
  <c r="K124"/>
  <c r="J124"/>
  <c r="G124"/>
  <c r="F124"/>
  <c r="L117"/>
  <c r="K117"/>
  <c r="J117"/>
  <c r="G117"/>
  <c r="F117"/>
  <c r="L109"/>
  <c r="K109"/>
  <c r="J109"/>
  <c r="G109"/>
  <c r="F109"/>
  <c r="L102"/>
  <c r="K102"/>
  <c r="J102"/>
  <c r="G102"/>
  <c r="F102"/>
  <c r="L95"/>
  <c r="K95"/>
  <c r="J95"/>
  <c r="H95"/>
  <c r="G95"/>
  <c r="F95"/>
  <c r="L88"/>
  <c r="K88"/>
  <c r="J88"/>
  <c r="G88"/>
  <c r="F88"/>
  <c r="L81"/>
  <c r="K81"/>
  <c r="J81"/>
  <c r="G81"/>
  <c r="F81"/>
  <c r="L73"/>
  <c r="K73"/>
  <c r="J73"/>
  <c r="G73"/>
  <c r="F73"/>
  <c r="L66"/>
  <c r="K66"/>
  <c r="J66"/>
  <c r="G66"/>
  <c r="F66"/>
  <c r="L59"/>
  <c r="K59"/>
  <c r="J59"/>
  <c r="G59"/>
  <c r="F59"/>
  <c r="L45"/>
  <c r="K45"/>
  <c r="J45"/>
  <c r="H45"/>
  <c r="G45"/>
  <c r="F45"/>
  <c r="A583"/>
  <c r="C582"/>
  <c r="C581"/>
  <c r="C578"/>
  <c r="C575"/>
  <c r="C574"/>
  <c r="C571"/>
  <c r="C568"/>
  <c r="C567"/>
  <c r="C564"/>
  <c r="C561"/>
  <c r="C560"/>
  <c r="C557"/>
  <c r="A547"/>
  <c r="C546"/>
  <c r="C545"/>
  <c r="C542"/>
  <c r="C539"/>
  <c r="C538"/>
  <c r="C535"/>
  <c r="C532"/>
  <c r="C531"/>
  <c r="C528"/>
  <c r="C525"/>
  <c r="C524"/>
  <c r="C521"/>
  <c r="A510"/>
  <c r="C509"/>
  <c r="C508"/>
  <c r="C505"/>
  <c r="C502"/>
  <c r="C501"/>
  <c r="C498"/>
  <c r="C495"/>
  <c r="C494"/>
  <c r="C491"/>
  <c r="C488"/>
  <c r="C487"/>
  <c r="C484"/>
  <c r="A474"/>
  <c r="C473"/>
  <c r="C472"/>
  <c r="C469"/>
  <c r="C466"/>
  <c r="C465"/>
  <c r="C462"/>
  <c r="C459"/>
  <c r="C458"/>
  <c r="C455"/>
  <c r="C452"/>
  <c r="C451"/>
  <c r="C448"/>
  <c r="A438"/>
  <c r="C437"/>
  <c r="C436"/>
  <c r="C433"/>
  <c r="C430"/>
  <c r="C429"/>
  <c r="C426"/>
  <c r="C423"/>
  <c r="C422"/>
  <c r="C419"/>
  <c r="C416"/>
  <c r="C415"/>
  <c r="C412"/>
  <c r="C401"/>
  <c r="C400"/>
  <c r="C399"/>
  <c r="C398"/>
  <c r="C397"/>
  <c r="C394"/>
  <c r="C393"/>
  <c r="C392"/>
  <c r="C391"/>
  <c r="C390"/>
  <c r="C387"/>
  <c r="C386"/>
  <c r="C385"/>
  <c r="C384"/>
  <c r="C383"/>
  <c r="C380"/>
  <c r="C379"/>
  <c r="C378"/>
  <c r="C377"/>
  <c r="C376"/>
  <c r="A364"/>
  <c r="C363"/>
  <c r="C362"/>
  <c r="C359"/>
  <c r="C356"/>
  <c r="C355"/>
  <c r="C352"/>
  <c r="C349"/>
  <c r="C348"/>
  <c r="C345"/>
  <c r="C342"/>
  <c r="C341"/>
  <c r="C338"/>
  <c r="A328"/>
  <c r="C327"/>
  <c r="C326"/>
  <c r="C323"/>
  <c r="C320"/>
  <c r="C319"/>
  <c r="C316"/>
  <c r="C313"/>
  <c r="C312"/>
  <c r="C309"/>
  <c r="C306"/>
  <c r="C305"/>
  <c r="C302"/>
  <c r="A292"/>
  <c r="C291"/>
  <c r="C290"/>
  <c r="C287"/>
  <c r="C284"/>
  <c r="C283"/>
  <c r="C280"/>
  <c r="C277"/>
  <c r="C276"/>
  <c r="C273"/>
  <c r="C270"/>
  <c r="C269"/>
  <c r="C266"/>
  <c r="A256"/>
  <c r="C255"/>
  <c r="C254"/>
  <c r="C251"/>
  <c r="C248"/>
  <c r="C247"/>
  <c r="C244"/>
  <c r="C241"/>
  <c r="C240"/>
  <c r="C237"/>
  <c r="C234"/>
  <c r="C233"/>
  <c r="C230"/>
  <c r="A220"/>
  <c r="C219"/>
  <c r="C218"/>
  <c r="C215"/>
  <c r="C212"/>
  <c r="C211"/>
  <c r="C208"/>
  <c r="C205"/>
  <c r="C204"/>
  <c r="C201"/>
  <c r="C198"/>
  <c r="C197"/>
  <c r="C194"/>
  <c r="A184"/>
  <c r="C183"/>
  <c r="C182"/>
  <c r="C179"/>
  <c r="C176"/>
  <c r="C175"/>
  <c r="C172"/>
  <c r="C169"/>
  <c r="C168"/>
  <c r="C165"/>
  <c r="C162"/>
  <c r="C161"/>
  <c r="C158"/>
  <c r="A148"/>
  <c r="C147"/>
  <c r="C146"/>
  <c r="C143"/>
  <c r="C140"/>
  <c r="C139"/>
  <c r="C136"/>
  <c r="C133"/>
  <c r="C132"/>
  <c r="C129"/>
  <c r="C126"/>
  <c r="C125"/>
  <c r="C122"/>
  <c r="A112"/>
  <c r="C111"/>
  <c r="C110"/>
  <c r="C107"/>
  <c r="C104"/>
  <c r="C103"/>
  <c r="C100"/>
  <c r="C97"/>
  <c r="C96"/>
  <c r="C93"/>
  <c r="C90"/>
  <c r="C89"/>
  <c r="C86"/>
  <c r="A76"/>
  <c r="C75"/>
  <c r="C74"/>
  <c r="C71"/>
  <c r="C68"/>
  <c r="C67"/>
  <c r="C64"/>
  <c r="C61"/>
  <c r="C60"/>
  <c r="C57"/>
  <c r="C54"/>
  <c r="C53"/>
  <c r="C50"/>
  <c r="C39"/>
  <c r="C38"/>
  <c r="C37"/>
  <c r="C36"/>
  <c r="C35"/>
  <c r="C32"/>
  <c r="C31"/>
  <c r="C30"/>
  <c r="C29"/>
  <c r="C28"/>
  <c r="C25"/>
  <c r="C24"/>
  <c r="C23"/>
  <c r="C22"/>
  <c r="C21"/>
  <c r="C18"/>
  <c r="C17"/>
  <c r="C16"/>
  <c r="C15"/>
  <c r="C14"/>
</calcChain>
</file>

<file path=xl/sharedStrings.xml><?xml version="1.0" encoding="utf-8"?>
<sst xmlns="http://schemas.openxmlformats.org/spreadsheetml/2006/main" count="4306" uniqueCount="867">
  <si>
    <t>Lavar, descascar e cortar a abóbora, o alho francês, as cenouras, as curgetes e as cebolas e cozer em água. Depois de cozidos, triturar tudo. Acrescentar a massa e deixar cozer. Retificar o tempero e adicionar o azeite no final da cozedura.</t>
  </si>
  <si>
    <t>Couve branca/Couve lombarda</t>
  </si>
  <si>
    <t>Lavar, descascar e cortar os ingredientes e levar a cozer a batata, a cebola, o alho, a cenoura e a abóbora. Após cozedura, triturar o preparado e adicionar a couve cortada em juliana e deixar cozer. Antes do final da cozedura retificar o tempero e no final adicionar o azeite.</t>
  </si>
  <si>
    <t>Couve-flor</t>
  </si>
  <si>
    <t>Descascar, lavar e cortar em pedaços a abóbora, a curgete, a cenoura, a cebola, o alho e cortar em pedaços. Cozer tudo em água. Após cozido, reduzir a puré. Posteriormente colocar a couve-flor, previamente lavada, aos pedaços e deixar cozer. Retificar o tempero e juntar o azeite no final da cozedura.</t>
  </si>
  <si>
    <t>Lavar, descascar e cortar os ingredientes e levar a cozer a batata, a cebola, o alho, metade da cenoura, a abóbora e a curgete. Após cozedura, triturar o preparado e adicionar a couve cortada em juliana e a restante cenoura raspada e deixar cozer. Antes do final da cozedura retificar o tempero e no final adicionar o azeite.</t>
  </si>
  <si>
    <t>Nabo com espinafres/cenoura e couve lombarda</t>
  </si>
  <si>
    <t>Espinafres/Cenoura</t>
  </si>
  <si>
    <t>40g/45g</t>
  </si>
  <si>
    <t>Lavar, descascar e cortar os ingredientes e levar a cozer a batata, a cebola, o alho, o nabo, metade das cenouras (quando se aplica) e a couve lombarda. Após cozedura, triturar o preparado e adicionar os espinafres em juliana ou a restante cenoura raspada. Antes do final da cozedura retificar o tempero e no final adicionar o azeite.</t>
  </si>
  <si>
    <t>F.T.S.16</t>
  </si>
  <si>
    <t>Descascar, lavar e cortar o alho francês, a cenoura, a abóbora, a curgete, o nabo, o alho e a cebola e cortar tudo em pedaços. Adicionar todos os ingredientes, exceto a curgete e levar a cozer. Após cozido, reduzir a puré, acrescentar a curgete e deixar cozer. Retificar o tempero e adicionar o azeite no final da cozedura.</t>
  </si>
  <si>
    <t>Alho Francês</t>
  </si>
  <si>
    <t>Lavar, descascar e cortar a abóbora, a curgete, a cenoura, o nabo, o alho francês e as cebolas. Levar a cozer tudo exceto metade do alho francês. Depois de cozido, triturar tudo e adicionar o restante alho francês, previamente cortado às rodelas. Antes do final da cozedura retificar o tempero e no final adicionar o azeite.</t>
  </si>
  <si>
    <t>Nabiças</t>
  </si>
  <si>
    <t>30gr</t>
  </si>
  <si>
    <t>De véspera demolhar o feijão-frade. Descascar e lavar as batatas, as cenouras, os alhos e as cebolas e levar a cozer em água a ferver. Depois de tudo cozido, triturar a sopa e algum feijão-frade (previamente cozido). Adicionar as nabiças previamente lavadas e preparadas. Deixar cozer e juntar o restante feijão-frade já cozido. Por fim, juntar o sal e o azeite.</t>
  </si>
  <si>
    <t>Sopa de Tomate</t>
  </si>
  <si>
    <t>35gr</t>
  </si>
  <si>
    <t>Limpar o tomate de pele e sementes. Lavar, descascar e cortar os ingredientes e cozer em água. Após cozer, triturar o preparado, retificar o tempero e adicionar o azeite.</t>
  </si>
  <si>
    <t>Descascar, lavar e cortar as batatas, as cenouras, as cebolas e os alhos e cozer em água a ferver. Posteriormente triturar a sopa e adicionar o agrião previamente cortado e lavado. Deixar o agrião cozer. Retificar o sal e juntar o azeite no final da cozedura.</t>
  </si>
  <si>
    <t>Lavar, descascar e cortar as batatas, a couve branca, a cenoura, a cebola, o alho e cozer em água. Preparar o feijão-verde às tirinhas. Depois de cozido, triturar os legumes. Acrescentar o feijão-verde, deixar cozer e retificar os temperos. No final da cozedura, juntar o azeite.</t>
  </si>
  <si>
    <t>Espinafres</t>
  </si>
  <si>
    <t>Lavar, descascar, cortar os ingredientes e cozer em água, exceto a cenoura e os espinafres. Após cozer, triturar o preparado e adicionar a cenoura, previamente cortada aos cubos, e os espinafres. No fim da cozedura, retificar o tempero e acrescentar o azeite.</t>
  </si>
  <si>
    <t>Grão-de-bico/feijão (branco ou vermelho) com couve-lombarda/ espinafres</t>
  </si>
  <si>
    <t>Couve-lombarda/espinafres</t>
  </si>
  <si>
    <t>Grão-de-bico/feijão branco</t>
  </si>
  <si>
    <t>De véspera, demolhar o grão/feijão. No dia, lavar, descascar e cortar os ingredientes e levar a cozer a batata, a cebola, o alho e a cenoura. À parte cozer o feijão/grão. Após cozedura, triturar os legumes e metade do feijão/grão anteriormente cozidos. Adicionar a couve cortada em juliana ou os espinafres e deixar cozer. Antes do final adicionar o restante feijão/grão retificar o tempero e no final adicionar o azeite.</t>
  </si>
  <si>
    <t>Grão-de-bico com couve-lombarda/espinafres/feijão-verde/nabiças</t>
  </si>
  <si>
    <t>Couve- lombarda/espinafres/feijão- verde/nabiças</t>
  </si>
  <si>
    <t>De véspera demolhar o grão. No dia, descascar, lavar e cortar em pedaços a batata, a cenoura, a cebola e o alho. Levar os ingredientes a cozer. Após cozedura, triturar os legumes e metade do feijão/grão anteriormente cozidos. Adicionar a couve-lombarda/ espinafres/feijão-verde/nabiças em pedaços e deixar cozer. Antes do final adicionar o restante feijão/grão retificar o tempero e no final adicionar o azeite.</t>
  </si>
  <si>
    <t>Feijão vermelho com hortaliça (couve lombarda e couve branca)</t>
  </si>
  <si>
    <t>De véspera, demolhar o feijão. No dia, lavar, descascar e cortar todos os ingredientes e cozer, exceto metade do feijão, a couve branca e a couve lombarda. Após cozer, triturar o preparado e acrescentar os restantes vegetais. No fim da cozedura, retificar o tempero e adicionar o azeite.</t>
  </si>
  <si>
    <t>Lavar, descascar e cortar os ingredientes e cozer em água, exceto metade das ervilhas. Após cozedura, triturar o preparado e adicionar a restante metade de ervilhas. No fim da cozedura, acrescentar o azeite e retificar o tempero.</t>
  </si>
  <si>
    <t>Descascar, lavar e cortar em pedaços a batata, a abóbora, a cenoura, a couve-flor, a cebola, o nabo e o alho. Colocar os ingredientes numa panela com água e deixar cozer. Após cozido, reduzir a puré, retificar o sal e deixar ferver mais um pouco. Juntar o azeite no final.</t>
  </si>
  <si>
    <t>Descascar, lavar e cortar em pedaços a batata, a abóbora, a cenoura, a couve branca, a cebola, o nabo e o alho. Colocar os ingredientes numa panela com água e deixar cozer. Após cozido, reduzir a puré, retificar o sal e deixar ferver mais um pouco. Juntar o azeite no final.</t>
  </si>
  <si>
    <t>Curgete/couve-flor/couve</t>
  </si>
  <si>
    <t>Descascar, lavar e cortar a abóbora, os nabos, a curgete, as cenouras, as cebolas e os alhos e cozer em água. Posteriormente triturar os legumes e adicionar a couve-flor/espinafres/feijão-verde em juliana. No fim retificar os temperos e juntar o azeite no final da cozedura.</t>
  </si>
  <si>
    <t>Creme de alho francês com cenoura e curgete/ couve-flor/couve lombarda</t>
  </si>
  <si>
    <t>Lavar e descascar o alho francês, a cenoura, a abóbora, a curgete/couve-flor/couve lombarda, o nabo, o alho e a cebola e cortar tudo em pedaços. Adicionar todos os ingredientes numa panela com água e levar a cozer. Após cozido, reduzir a puré. Retificar temperos e adicionar o azeite.</t>
  </si>
  <si>
    <t>Creme de Legumes</t>
  </si>
  <si>
    <t>Lavar, descascar e cortar as batatas, o feijão-verde a couve branca, a cenoura, a cebola e o alho e cozer em água. Preparar o feijão-verde às tirinhas. Depois de cozido, triturar todo o preparado. Retificar a temperatura e no final da cozedura, juntar o azeite.</t>
  </si>
  <si>
    <t>Nabo com espinafres e ervilhas/feijão</t>
  </si>
  <si>
    <t>De véspera, demolhar o feijão</t>
  </si>
  <si>
    <t>Lavar, descascar e cortar os ingredientes e levar a cozer a batata, a cebola, o alho, o nabo, e o feijão ou a as ervilhas. Após cozedura, triturar o preparado e adicionar os espinafres em juliana. Antes do final da cozedura retificar o tempero e no final adicionar o azeite.</t>
  </si>
  <si>
    <t>Creme de ervilhas com couve-flor</t>
  </si>
  <si>
    <t>Creme de abóbora com couve-flor/espinafres/feijão-verde</t>
  </si>
  <si>
    <t>F.T.AC.1</t>
  </si>
  <si>
    <t>Puré de batata</t>
  </si>
  <si>
    <t>45ml</t>
  </si>
  <si>
    <t>Descascar as batatas e cozer em água e sal. Após cozedura passar as batatas pelo passe-vite ou desfazê-las com as varas da varinha. Colocar a batata triturada num tacho ao lume e juntar o leite quente. Adicionar a noz-moscada, mexer sempre até obter uma consistência mole.</t>
  </si>
  <si>
    <t>F.T.AC.2</t>
  </si>
  <si>
    <t>Descascar e cortar as batatas em quartos ou aos cubos. Colocar as batatas num tabuleiro e adicionar o sal, a salsa, os orégãos e por fim o azeite. Levar ao forno até cozer ao ponto de ficarem coradas.</t>
  </si>
  <si>
    <t>F.T.AC.3</t>
  </si>
  <si>
    <t>Descascar e cortar as batatas ao meio ou aos cubos e cozer em água e sal ou em tabuleiros perfurados no forno convetor (s/ adição de sal).</t>
  </si>
  <si>
    <t>F.T.AC.4</t>
  </si>
  <si>
    <t>Batata corada</t>
  </si>
  <si>
    <t>Descascar e cortar as batatas aos cubos e cozer em água e sal ou em tabuleiro perfurado a vapor. Num tabuleiro liso dispor as batatas e regar com um fio de azeite e polvilhar com manjericão e orégãos. Levar ao forno e deixar corar.</t>
  </si>
  <si>
    <t>F.T.AC.5</t>
  </si>
  <si>
    <t>Salada Russa (batata, cenoura, ervilhas e feijão-verde) / Salada Camponesa (batata, cenoura, ervilhas e milho)</t>
  </si>
  <si>
    <t>Feijão-verde/Milho</t>
  </si>
  <si>
    <t>50/30g</t>
  </si>
  <si>
    <t>Descascar e cortar as batatas aos cubos e cozer em água e sal ou em tabuleiro perfurado a vapor. Cozer também as cenouras, o feijão-verde e as ervilhas em água e sal ou em tabuleiro perfurado a vapor. Depois de cozidos todos os legumes envolver com as batatas.</t>
  </si>
  <si>
    <t>F.T.AC.6</t>
  </si>
  <si>
    <t>Cenoura/milho/ervilhas/cogumelos/couve</t>
  </si>
  <si>
    <t>30g/30g/30g/50g/30g</t>
  </si>
  <si>
    <t>Estufar a cebola e o alho em azeite. Adicionar a cenoura cortada aos cubos/milho/ervilhas previamente cozidos, de preferência a vapor. Posteriormente juntar a água e quando estiver a ferver, adicionar o arroz. No final retificar o tempero.</t>
  </si>
  <si>
    <t>F.T.AC.7</t>
  </si>
  <si>
    <t>Arroz de legumes (feijão-verde/tomate/brócolos/milho/cenoura)</t>
  </si>
  <si>
    <t>Estufar a cebola e o alho em azeite. Adicionar a cenoura cortada aos cubos e juntar dois dos restantes legumes (feijão-verde/tomate/brócolos/milho), em função da ementa e de preferência previamente cozidos a vapor. Posteriormente juntar a água e quando estiver a ferver, adicionar o arroz. No final retificar o tempero.</t>
  </si>
  <si>
    <t>F.T.AC.8</t>
  </si>
  <si>
    <t>Arroz de branco</t>
  </si>
  <si>
    <t>Picar o alho e a cebola e estufar em azeite. Adicionar água ao preparado. Após fervura acrescentar o arroz. No final retificar o tempero.</t>
  </si>
  <si>
    <t>F.T.AC.9</t>
  </si>
  <si>
    <t>Levar água num tacho ao lume até ferver. Posteriormente adicionar a massa (esparguete/espirais/macarronete/ fusili) e parte do sal e deixar cozer. No final retificar o tempero.</t>
  </si>
  <si>
    <t>F.T.AC.10</t>
  </si>
  <si>
    <t>Ervilhas/ cenoura/ couve-flor/ milho/ cenoura baby/ feijão-verde/ couve lombarda/ couve-de-bruxelas/ brócolos</t>
  </si>
  <si>
    <t>Couve-lombarda</t>
  </si>
  <si>
    <t>Cenoura baby</t>
  </si>
  <si>
    <t>Couve-de-bruxelas</t>
  </si>
  <si>
    <t>Levar água num tacho ao lume até ferver. Posteriormente adicionar o(s) legume(s) mencionados e adicionar parte do sal e deixar cozer. No final retificar o tempero OU levar o(s) legume(s) em tabuleiro perfurado ao forno convetor e colocar no módulo de cozedura a vapor, sem adicionar sal. Deixar cozer.</t>
  </si>
  <si>
    <t>F.T.AC.11</t>
  </si>
  <si>
    <t>Levar água num tacho ao lume até ferver. Posteriormente adicionar o(s) legume(s) mencionados e adicionar parte do sal e deixar cozer. No final retificar o tempero OU levar o(s) legume(s) em tabuleiro perfurado ao forno convetor e colocar no módulo de cozedura a vapor, sem adicionar sal. Deixar cozer. Num tacho à parte colocar cebola, alho e o(s) respetivo(s) legume(s), adicionar o azeite e levar ao lume a estufar.</t>
  </si>
  <si>
    <t>F.T.AC.12</t>
  </si>
  <si>
    <t>Levar água num tacho ao lume até ferver. Posteriormente adicionar os legumes mencionados e adicionar parte do sal e deixar cozer. No final retificar o tempero OU levar os legumes em tabuleiro perfurado ao forno convetor e colocar no módulo de cozedura a vapor, sem adicionar sal. Deixar cozer. Servir e temperar com azeite.</t>
  </si>
  <si>
    <t>F.T.AC.13</t>
  </si>
  <si>
    <t>Salada Tricolor (cenoura, cogumelos e ervilhas)</t>
  </si>
  <si>
    <t>Cozer os legumes e as batatas separadamente (em água ou a vapor) numa panela com água a ferver e sal. De seguida, colocar as batatas cortadas aos cubos e os legumes. Após servido, pode ser temperado com azeite.</t>
  </si>
  <si>
    <t>F.T.AC.14</t>
  </si>
  <si>
    <t>Arroz de feijão</t>
  </si>
  <si>
    <t>Estufar a cebola, o alho e o tomate em azeite. Adicionar o feijão previamente demolhado e cozido Adicionar a água de cozer o feijão. Após fervura adicionar o arroz.</t>
  </si>
  <si>
    <t>F.T.AC.15</t>
  </si>
  <si>
    <t>Macedónia de legumes estufados</t>
  </si>
  <si>
    <t>Levar água num tacho ao lume até ferver. Posteriormente adicionar os legumes mencionados e adicionar parte do sal e deixar cozer. No final retificar o tempero OU levar os legumes em tabuleiro perfurado ao forno convetor e colocar no módulo de cozedura a vapor, sem adicionar sal. Deixar cozer. Num tacho à parte colocar cebola, alho e o(s) respetivo(s) legume(s), adicionar o azeite e levar ao lume a estufar.</t>
  </si>
  <si>
    <t>Arroz de cenoura/milho/ervilhas/cogumelos/couve</t>
  </si>
  <si>
    <t>Esparguete/espirais/macarronete/fusili</t>
  </si>
  <si>
    <t>Estufado de legumes (brócolos/cenoura/tomate/feijão- verde/cogumelos/ervilhas/ curgete)</t>
  </si>
  <si>
    <t>F.T.SOB 1</t>
  </si>
  <si>
    <t>Gelatina com frutas</t>
  </si>
  <si>
    <t>Água</t>
  </si>
  <si>
    <t>Gelatina em pó</t>
  </si>
  <si>
    <t>Abacaxi</t>
  </si>
  <si>
    <t>Laranja</t>
  </si>
  <si>
    <t>Morango</t>
  </si>
  <si>
    <t>80ml</t>
  </si>
  <si>
    <t>16g</t>
  </si>
  <si>
    <t>Ferver metade da quantidade da água. Adicionar a carteira de gelatina e dissolver o conteúdo. Adicionar a restante quantidade de água fria. Deixar arrefecer e, posteriormente, colocar a gelatina no frigorífico. Dispor pedaços pequenos de abacaxi, laranja e morango, previamente lavados, descascados e cortados, por cima da gelatina.</t>
  </si>
  <si>
    <t>F.T.SOB 2</t>
  </si>
  <si>
    <t>Açúcar branco</t>
  </si>
  <si>
    <t>Leite vaca UHT meio gordo</t>
  </si>
  <si>
    <t>Canela em pó</t>
  </si>
  <si>
    <t>Pau de canela</t>
  </si>
  <si>
    <t>Casca de limão</t>
  </si>
  <si>
    <t>6-8 g</t>
  </si>
  <si>
    <t>100 ml</t>
  </si>
  <si>
    <t>5g</t>
  </si>
  <si>
    <t>1g</t>
  </si>
  <si>
    <t>Colocar o leite ao lume, juntamente com o pau de canela e as cascas de limão, até ferver. À parte, juntar o açúcar com as gemas. Verter sobre o preparado anterior o restante leite frio, aos poucos, e mexendo sempre, seguidamente adicionar o leite quente. Levar ao lume, sem parar de mexer, até engrossar. Tirar o preparado do calor e eliminar a canela e as cascas de limão. Transferir para o recipiente onde vai ser servido, polvilhar com açúcar e queimar com um utensílio próprio/decorar com canela em pó.</t>
  </si>
  <si>
    <t>F.T.SOB 3</t>
  </si>
  <si>
    <t>Arroz cru</t>
  </si>
  <si>
    <t>100ml</t>
  </si>
  <si>
    <t>Lavar e escorrer o arroz levando-o, seguidamente, a cozer em leite (juntamente com a casca de limão, o pau de canela e o açúcar). Deixar ferver em lume brando. Quando o leite estiver reduzido, retirar o arroz do lume. Colocar de seguida nas taças e deixar arrefecer no frigorífico. Decorar com canela em pó.</t>
  </si>
  <si>
    <t>F.T.SOB 4</t>
  </si>
  <si>
    <t>Massa miúda crua</t>
  </si>
  <si>
    <t>Leite Vaca UHT meio gordo</t>
  </si>
  <si>
    <t>Cozer a massa juntamente com a casca de limão. Depois da massa estar cozida, escorrer alguma água que nela exista. Colocar o leite e o açúcar e deixar ferver em lume brando. Quando o leite estiver reduzido, retirar o preparado do lume e adicionar a gema pasteurizada, voltando a levá-la ao lume brando até cozer a gema, sem, no entanto, deixar que esta talhe. Colocar de seguida nas taças e deixar arrefecer no frigorífico. Decorar com canela em pó.</t>
  </si>
  <si>
    <t>F.T.SOB 5</t>
  </si>
  <si>
    <t>F.T.SOB 6</t>
  </si>
  <si>
    <t>6 g + 4 gr</t>
  </si>
  <si>
    <t>Ferver o leite com a casca de laranja. Colocar os ovos numa tigela, juntar parte do açúcar e misturar bem, sem bater. Adicionar o leite já morno e misturar. Levar o restante açúcar ao lume até atingir o ponto de caramelo e coloca-lo numa forma de pudim de forma a cobrir a mesma. Adicionar o preparado e levar ao forno, em banho-maria, até cozer. Estará cozido quando se espetar um palito e este sair seco. Depois de cozido, retirar o pudim do forno e deixar arrefecer totalmente antes de o desenformar.</t>
  </si>
  <si>
    <t>F.T.SOB 7</t>
  </si>
  <si>
    <t>Maçã/Pera</t>
  </si>
  <si>
    <t>Canela</t>
  </si>
  <si>
    <t>Lavar e retirar a parte central (caroço e sementes) da fruta. Colocar a fruta num tabuleiro, polvilhar com canela e regar com um pouco de água. Levar ao forno até assar.</t>
  </si>
  <si>
    <t>F.T.SOB 8</t>
  </si>
  <si>
    <t>Raspa de limão</t>
  </si>
  <si>
    <t>Descascar e lavar a fruta sem lhe retirar o cabo. Levar a cozer em água a ferver com raspas de limão ou colocar em tabuleiro perfurado e levar ao forno convetor a cozer a vapor, polvilhado com raspas de limão. Polvilhar a gosto com canela antes de consumir.</t>
  </si>
  <si>
    <t>F.T.SOB 9</t>
  </si>
  <si>
    <t xml:space="preserve">Fruta </t>
  </si>
  <si>
    <t>Kiwi</t>
  </si>
  <si>
    <t>Morangos/Cereja</t>
  </si>
  <si>
    <t>Pêssego/Nectarina</t>
  </si>
  <si>
    <t>Maçã/Pera/Clementina/</t>
  </si>
  <si>
    <t>Tangerina/</t>
  </si>
  <si>
    <t>Uva/Laranja/Ananás/</t>
  </si>
  <si>
    <t>Alperce/Damasco/</t>
  </si>
  <si>
    <t>Ameixa/Nêspera</t>
  </si>
  <si>
    <t>Melão</t>
  </si>
  <si>
    <t>Meloa</t>
  </si>
  <si>
    <t>Melancia</t>
  </si>
  <si>
    <t>180g</t>
  </si>
  <si>
    <t>Lavar e desinfetar segundo as recomendações do manual de qualidade. Colocar a fruta em frio devidamente acondicionado e/ou colocar individualmente em taças e expor na linha de self, num horário o mais próximo possível da hora de servir.</t>
  </si>
  <si>
    <t>F.T.SOB 10</t>
  </si>
  <si>
    <t>Ferver metade da quantidade da água. Adicionar a carteira de gelatina e dissolver o conteúdo. Adicionar a restante quantidade de água fria. Colocar em taças individuais e deixar arrefecer e, posteriormente, colocar a gelatina no frigorífico.</t>
  </si>
  <si>
    <t>F.T.SOB 11</t>
  </si>
  <si>
    <t>Gelado</t>
  </si>
  <si>
    <t>1 unidade (150ml)</t>
  </si>
  <si>
    <t>Congelação</t>
  </si>
  <si>
    <t>Fruta assada (Maçã/Pera)</t>
  </si>
  <si>
    <t>Fruta cozida (Maçã/Pera)</t>
  </si>
  <si>
    <t>Açúcar branco (pudim + caramelo)</t>
  </si>
  <si>
    <t>F.T.SLD</t>
  </si>
  <si>
    <t>Beterraba/ Pepino/ Tomate/ Alface/ Couve-roxa/ Milho/ Cenoura/ Couve em juliana/ Pimento/ Couve-de-bruxelas/ Curgete</t>
  </si>
  <si>
    <t>Beterraba/ Pepino/ Tomate</t>
  </si>
  <si>
    <t>Alface/ Couve-roxa/ Milho</t>
  </si>
  <si>
    <t>Cenoura/ Couve em juliana</t>
  </si>
  <si>
    <t>Pimento/ Couve-de-bruxelas/ Curgete</t>
  </si>
  <si>
    <t>40g/35g/50g</t>
  </si>
  <si>
    <t>40g/30g/45g</t>
  </si>
  <si>
    <t>50g/80g</t>
  </si>
  <si>
    <t xml:space="preserve"> 25g/40g/40g</t>
  </si>
  <si>
    <t>Preparar, lavar e desinfetar o vegetal segundo as indicações do Manual da Qualidade e da ficha técnica do produto a utilizar.</t>
  </si>
  <si>
    <t>Bacalhau gratinado com batata assada/cozida e feijão-verde cozido</t>
  </si>
  <si>
    <t>Fruta da época (min. 3 variedades) /Gelatina com frutas</t>
  </si>
  <si>
    <t>Salada</t>
  </si>
  <si>
    <t>Couve em juliana, pepino e tomate</t>
  </si>
  <si>
    <t>Feijão vermelho com couve lombarda</t>
  </si>
  <si>
    <t>Salmão grelhado/gratinado com batata e feijão-verde cozidos</t>
  </si>
  <si>
    <t>Pescada gratinada com batata assada/cozida e cenoura e brócolos cozidos</t>
  </si>
  <si>
    <t>Peixe-prata gratinado com batata e couve cozidas</t>
  </si>
  <si>
    <t>11 a 15 de setembro</t>
  </si>
  <si>
    <t>18 a 22 de setembro</t>
  </si>
  <si>
    <t>25 a 29 de setembro</t>
  </si>
  <si>
    <t>9 a 13 de outubro</t>
  </si>
  <si>
    <t>16 a 20 de outubro</t>
  </si>
  <si>
    <t>23 a 27 de outubro</t>
  </si>
  <si>
    <t>30 de outubro a 3 de novembro</t>
  </si>
  <si>
    <t>6 a 10 de novembro</t>
  </si>
  <si>
    <t>13 a 17 de novembro</t>
  </si>
  <si>
    <t>20 a 24 de novembro</t>
  </si>
  <si>
    <t>27 de novembro a 1 de dezembro</t>
  </si>
  <si>
    <t>Semana 13</t>
  </si>
  <si>
    <t xml:space="preserve"> 4 a 8 de dezembro </t>
  </si>
  <si>
    <t xml:space="preserve"> 11 a 15 de dezembro </t>
  </si>
  <si>
    <t>Semana 14</t>
  </si>
  <si>
    <t>2 a 6 de outubro</t>
  </si>
  <si>
    <t>FERIADO</t>
  </si>
  <si>
    <t xml:space="preserve">Espinafres </t>
  </si>
  <si>
    <t>Frango estufado com ervilhas e massa macarronete</t>
  </si>
  <si>
    <t>Grão-de-bico com couve lombarda</t>
  </si>
  <si>
    <t>Esparguete à Bolonhesa</t>
  </si>
  <si>
    <t>Creme de abóbora e espinafres</t>
  </si>
  <si>
    <t>Coxas de frango assado com massa espiral e cenoura</t>
  </si>
  <si>
    <t>Vitela estufada com ervilhas e cenoura e batata corada</t>
  </si>
  <si>
    <t>Grão-de-bico com espinafres</t>
  </si>
  <si>
    <t>Creme de couve flor</t>
  </si>
  <si>
    <t>Alface, pimento e milho</t>
  </si>
  <si>
    <t>Grão-de-bico com nabiças</t>
  </si>
  <si>
    <t>Alface,milho e pepino</t>
  </si>
  <si>
    <t>Feijoada à Portuguesa com arroz branco</t>
  </si>
  <si>
    <t>Lombo de porco no forno com esparguete e salada tricolor(cenoura, cogumelos e ervilhas)</t>
  </si>
  <si>
    <t>Tintureira estufada com massa de cotovelinhos e ervas aromáticas</t>
  </si>
  <si>
    <t>Rancho (carne de porco e carne de vaca)</t>
  </si>
  <si>
    <t>Filetes de pescada fritos/Barrinhas de pescada com arroz de tomate</t>
  </si>
  <si>
    <t>Arinca no forno com salada russa (batata, cenoura e ervilhas)</t>
  </si>
  <si>
    <t>Strogonoff de frango com arroz branco</t>
  </si>
  <si>
    <t xml:space="preserve">Creme de nabo e cenoura </t>
  </si>
  <si>
    <t>Carne de vaca assada fatiada com esparguete</t>
  </si>
  <si>
    <t xml:space="preserve">Nabiças </t>
  </si>
  <si>
    <t>Febras de porco grelhadas/gratinadas com estufado de ervilhas e cenoura e massa fusilli</t>
  </si>
  <si>
    <t>Grão-de-bico com feijão-verde</t>
  </si>
  <si>
    <t>Pescada no forno com salada russa(batata, ervilha, feijão verde e cenoura)</t>
  </si>
  <si>
    <t>Arroz de carnes mistas (carne de vaca e de porco)</t>
  </si>
  <si>
    <t>Milho, pimento e tomate</t>
  </si>
  <si>
    <t>Hamburguer de aves com arroz de cenoura e ervilhas</t>
  </si>
  <si>
    <t>Juliana de legumes</t>
  </si>
  <si>
    <t>Abrótea estufada com arroz de ervilhas</t>
  </si>
  <si>
    <t>Creme de vegetais</t>
  </si>
  <si>
    <t>Feijão branco com espinafres</t>
  </si>
  <si>
    <t>Carne de porco estufada com macarronete e jardineira de legumes</t>
  </si>
  <si>
    <t>Pescada cozida com batata, feijão-verde e cenoura cozidos</t>
  </si>
  <si>
    <t>Cenoura com couve ripada</t>
  </si>
  <si>
    <t>Perna de peru assada com laranja e arroz de ervilhas</t>
  </si>
  <si>
    <t>Couve roxa, pimento e tomate</t>
  </si>
  <si>
    <t>Rolo de carne no forno com óregãos e massa esparguete</t>
  </si>
  <si>
    <t>Redfish estufado com cenoura, feijão verde e batata cozida</t>
  </si>
  <si>
    <t>Grelos</t>
  </si>
  <si>
    <t>Perna de frango assada com alecrim, arroz de ervilhas e milho</t>
  </si>
  <si>
    <t>Creme de brócolos com feijão branco</t>
  </si>
  <si>
    <t>Massada de peixe com frutos do mar</t>
  </si>
  <si>
    <t>Caldo Verde</t>
  </si>
  <si>
    <t>Arroz misto de carnes (vaca, porco e frango) com feijão branco, couve lombarda e cenoura</t>
  </si>
  <si>
    <t>Tomate, milho e pimento</t>
  </si>
  <si>
    <t>Granadeiro no forno com batata e brócolos cozidos</t>
  </si>
  <si>
    <t>Carne de porco à portuguesa</t>
  </si>
  <si>
    <t>Hambúrguer estufado com massa espiral com legumes salteados (ervilhas e cenoura)</t>
  </si>
  <si>
    <t>Bifes de frango panados no forno com arroz de cenoura</t>
  </si>
  <si>
    <t>Tesourinhos no forno com arroz de feijão catarino</t>
  </si>
  <si>
    <t>Alface, cebola e tomate</t>
  </si>
  <si>
    <t>Frango corado com óregãos e arroz de cenoura</t>
  </si>
  <si>
    <t>Couve-roxa, cebola e tomate</t>
  </si>
  <si>
    <t>Carne de porco fatiada assada com arroz de cenoura</t>
  </si>
  <si>
    <t>Redfish estufado com batata cozida</t>
  </si>
  <si>
    <t>Salmão grelhado/gratinado com batata aos gomos salteada</t>
  </si>
  <si>
    <t>Arroz de atum</t>
  </si>
  <si>
    <t>NOTA 1: Almôndegas estufadas com esparguete, caso seja dia de abertura</t>
  </si>
  <si>
    <t xml:space="preserve">NOTA 2: Arroz de atum, caso seja dia de abertura                                                       </t>
  </si>
  <si>
    <t>Carne de vaca estufada com feijão verde e massa espiral</t>
  </si>
  <si>
    <t>Salada de atum com feijão-frade (atum, batata, feijão frade, ovo e cenoura)</t>
  </si>
  <si>
    <t>Rancho à regional (carne de vaca, porco e frango), com grão-de-bico, couve lombarda e massa macarronete</t>
  </si>
  <si>
    <t>Rissóis de atum com arroz de couve lombarda</t>
  </si>
  <si>
    <t>Alface, cenoura ralada e curgete</t>
  </si>
  <si>
    <t xml:space="preserve">Fruta da época (min. 3 variedades)/Fruta assada </t>
  </si>
  <si>
    <r>
      <t xml:space="preserve">Febras de porco grelhadas/gratinadas com molho de cogumelos e arroz branco </t>
    </r>
    <r>
      <rPr>
        <b/>
        <sz val="11"/>
        <color indexed="56"/>
        <rFont val="Trebuchet MS"/>
        <family val="2"/>
      </rPr>
      <t>NOTA 1</t>
    </r>
  </si>
  <si>
    <r>
      <t xml:space="preserve">Solha no forno com salada russa (batata, ervilha, feijão verde e cenoura) </t>
    </r>
    <r>
      <rPr>
        <b/>
        <sz val="11"/>
        <color indexed="56"/>
        <rFont val="Trebuchet MS"/>
        <family val="2"/>
      </rPr>
      <t>NOTA 2</t>
    </r>
  </si>
  <si>
    <t>F.T.S.1</t>
  </si>
  <si>
    <t>Minestrone</t>
  </si>
  <si>
    <t>F.T.S.2</t>
  </si>
  <si>
    <t>F.T.S.3</t>
  </si>
  <si>
    <t>F.T.S.4</t>
  </si>
  <si>
    <t>F.T.S.5</t>
  </si>
  <si>
    <t>F.T.S.6</t>
  </si>
  <si>
    <t>F.T.S.7</t>
  </si>
  <si>
    <t>F.T.S.8</t>
  </si>
  <si>
    <t>F.T.S.9</t>
  </si>
  <si>
    <t>F.T.S.10</t>
  </si>
  <si>
    <t>F.T.S.11</t>
  </si>
  <si>
    <t>F.T.S.12</t>
  </si>
  <si>
    <t>F.T.S.13</t>
  </si>
  <si>
    <t>F.T.S.14</t>
  </si>
  <si>
    <t>F.T.S.15</t>
  </si>
  <si>
    <t>Leite-creme</t>
  </si>
  <si>
    <t>Arroz doce</t>
  </si>
  <si>
    <t>Aletria</t>
  </si>
  <si>
    <t>Iogurte</t>
  </si>
  <si>
    <t>1 unidade (125ml)</t>
  </si>
  <si>
    <t>Refrigeração</t>
  </si>
  <si>
    <t>Pudim</t>
  </si>
  <si>
    <t>Segunda-Feira</t>
  </si>
  <si>
    <t>Sopa</t>
  </si>
  <si>
    <t>Prato</t>
  </si>
  <si>
    <t>Sobremesa</t>
  </si>
  <si>
    <t>Pão</t>
  </si>
  <si>
    <t>Terça-Feira</t>
  </si>
  <si>
    <t>Quarta-Feira</t>
  </si>
  <si>
    <t>Quinta-Feira</t>
  </si>
  <si>
    <t>Sexta-Feira</t>
  </si>
  <si>
    <t>Pão de mistura</t>
  </si>
  <si>
    <t>Fruta da época (min. 3 variedades)</t>
  </si>
  <si>
    <t>Feijão-verde</t>
  </si>
  <si>
    <t>Alface, couve roxa e milho</t>
  </si>
  <si>
    <t>Creme de legumes</t>
  </si>
  <si>
    <t>Couve branca com cenoura ripada</t>
  </si>
  <si>
    <t>Juliana</t>
  </si>
  <si>
    <t>Lavrador</t>
  </si>
  <si>
    <t>Alface, beterraba e cenoura</t>
  </si>
  <si>
    <t>Macedónia de legumes</t>
  </si>
  <si>
    <t>Couve branca</t>
  </si>
  <si>
    <t>Creme de ervilhas e cenoura</t>
  </si>
  <si>
    <t>Horta</t>
  </si>
  <si>
    <t xml:space="preserve">Fruta da época (min. 3 variedades) </t>
  </si>
  <si>
    <t>Alho francês</t>
  </si>
  <si>
    <t>Legumes com ervilhas</t>
  </si>
  <si>
    <t>Camponesa</t>
  </si>
  <si>
    <t>Fruta da época (min. 3 variedades) / Fruta assada</t>
  </si>
  <si>
    <t>Meia desfeita de bacalhau</t>
  </si>
  <si>
    <t>Ingredientes</t>
  </si>
  <si>
    <t>Capitação</t>
  </si>
  <si>
    <t>Nº</t>
  </si>
  <si>
    <t>Nome</t>
  </si>
  <si>
    <t>Método culinário:</t>
  </si>
  <si>
    <t>Fichas Técnicas das Ementas de Carne</t>
  </si>
  <si>
    <t>Fichas Técnicas das Ementas de Peixe</t>
  </si>
  <si>
    <t>Fichas Técnicas das Ementas de Sopa</t>
  </si>
  <si>
    <t>Fichas Técnicas das Ementas de Acompanhamentos</t>
  </si>
  <si>
    <t>Fichas Técnicas das Ementas de Sobremesas</t>
  </si>
  <si>
    <t>Fruta da época (min. 3 variedades) / Fruta cozida</t>
  </si>
  <si>
    <t>Couve lombarda</t>
  </si>
  <si>
    <t>Fruta da época (min. 3 variedades) / Aletria</t>
  </si>
  <si>
    <t>Almôndegas estufadas</t>
  </si>
  <si>
    <t>Arroz à Valenciana</t>
  </si>
  <si>
    <t>F.T.P.2</t>
  </si>
  <si>
    <t>F.T.P.3</t>
  </si>
  <si>
    <t>F.T.P.8</t>
  </si>
  <si>
    <t>Bacalhau à Gomes de Sá</t>
  </si>
  <si>
    <t>Batata assada</t>
  </si>
  <si>
    <t>Batata cozida</t>
  </si>
  <si>
    <t>FT</t>
  </si>
  <si>
    <t>F.T.S.17</t>
  </si>
  <si>
    <t>F.T.S.19</t>
  </si>
  <si>
    <t>F.T.S.20</t>
  </si>
  <si>
    <t>F.T.S.21</t>
  </si>
  <si>
    <t>F.T.S.22</t>
  </si>
  <si>
    <t>F.T.S.23</t>
  </si>
  <si>
    <t>F.T.S.24</t>
  </si>
  <si>
    <t>F.T.S.25</t>
  </si>
  <si>
    <t>F.T.S.26</t>
  </si>
  <si>
    <t>F.T.S.27</t>
  </si>
  <si>
    <t>F.T.S.28</t>
  </si>
  <si>
    <t>F.T.S.29</t>
  </si>
  <si>
    <t>F.T.S.30</t>
  </si>
  <si>
    <t>F.T.S.31</t>
  </si>
  <si>
    <t>F.T.S.32</t>
  </si>
  <si>
    <t>F.T.S.33</t>
  </si>
  <si>
    <t>F.T.S.34</t>
  </si>
  <si>
    <t>F.T.S.35</t>
  </si>
  <si>
    <t>Primavera</t>
  </si>
  <si>
    <t>Saloia</t>
  </si>
  <si>
    <t>Portuguesa</t>
  </si>
  <si>
    <t>Nabiças com feijão-frade</t>
  </si>
  <si>
    <t>Brócolos</t>
  </si>
  <si>
    <t>Creme de couve-flor</t>
  </si>
  <si>
    <t>Creme de Feijão-verde</t>
  </si>
  <si>
    <t>Fichas Técnicas das Ementas de Saladas e Legumes</t>
  </si>
  <si>
    <t>Cenoura</t>
  </si>
  <si>
    <t>F.T.S.18</t>
  </si>
  <si>
    <t>Tomate</t>
  </si>
  <si>
    <t>Filetes de pescada</t>
  </si>
  <si>
    <t>Semana</t>
  </si>
  <si>
    <t>Prato e Vegetais</t>
  </si>
  <si>
    <t>VE
(KJ)</t>
  </si>
  <si>
    <t>VE
(Kcal)</t>
  </si>
  <si>
    <t>Lip.
(g)</t>
  </si>
  <si>
    <t>AG Sat.
(g)</t>
  </si>
  <si>
    <t>HC
(g)</t>
  </si>
  <si>
    <t>Prot.
(g)</t>
  </si>
  <si>
    <t>Sal
(g)</t>
  </si>
  <si>
    <t>Pode ser solicitada a  Ficha Técnica do Pão aos funcionários.</t>
  </si>
  <si>
    <t xml:space="preserve">
A sua refeição contém ou pode conter as seguintes substâncias ou produtos e seus derivados: 1Cereais que contêm glúten, 2Crustáceos , 3Ovos, 4Peixes, 5Amendoins, 6Soja, 7Leite, 8Frutos de casca rija, 9Aipo, 10Mostarda, 11Sementes de sésamo, 12Dióxido de enxofre e sulfitos, 13Tremoço, 14Moluscos. 
Para quem não é alérgico ou intolerante, estas substâncias ou produtos são completamente inofensivas. 
Caso necessite informação adicional sobre os produtos em causa deve solicitar aos funcionários.
Declaração nutricional: valores médios de 100 g ou 100 ml, calculados a partir dos valores médios conhecidos dos ingredientes utilizados, segundo o Instituto Nacional de Saúde Dr. Ricardo Jorge, Tabela da Composição de Alimentos (2007), e a informação disponibilizada pelos fornecedores.
Legenda: VE - Valor energético, Líp. - Lípidos, AG Sat. - Ácidos Gordos Saturados, HC - Hidratos de Carbono, Prot. - Proteínas.
</t>
  </si>
  <si>
    <t>Alface, couve roxa e pepino</t>
  </si>
  <si>
    <t>pode ser solicitada a Ficha Técnica do Pão ao funcionários.</t>
  </si>
  <si>
    <t>Alface, beterraba e milho</t>
  </si>
  <si>
    <t>Caldo verde</t>
  </si>
  <si>
    <t>Fruta da época (min. 3 variedades)  / Fruta cozida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</si>
  <si>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</si>
  <si>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</si>
  <si>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</si>
  <si>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</si>
  <si>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</si>
  <si>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</si>
  <si>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</si>
  <si>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</si>
  <si>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</si>
  <si>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</si>
  <si>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</si>
  <si>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</si>
  <si>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Febras de porco</t>
  </si>
  <si>
    <t>Frango</t>
  </si>
  <si>
    <t>Alface, pepino e tomate</t>
  </si>
  <si>
    <t>Fruta da época (min. 3 variedades)/ iogurte</t>
  </si>
  <si>
    <t>Alface, beterraba e tomate</t>
  </si>
  <si>
    <t>Feijão vermelho</t>
  </si>
  <si>
    <t>Fruta da época (min. 3 variedades)/ Fruta cozida</t>
  </si>
  <si>
    <t>Feijão vermelho com hortaliça</t>
  </si>
  <si>
    <t>Sopa da horta</t>
  </si>
  <si>
    <t>Arroz de frutos do mar (pescada, camarão e berbigão)</t>
  </si>
  <si>
    <t>Alface, milho e tomate</t>
  </si>
  <si>
    <t>Cenoura, couve roxa e pepino</t>
  </si>
  <si>
    <t>Carne de porco</t>
  </si>
  <si>
    <t>Arroz de lulas</t>
  </si>
  <si>
    <t>Gelatina</t>
  </si>
  <si>
    <t>Empadão de atum com arroz, ervilhas e cenoura</t>
  </si>
  <si>
    <t>Peru assado com esparguete e feijão-verde</t>
  </si>
  <si>
    <t>Abrótea estufada com batata cozida</t>
  </si>
  <si>
    <t>Alface, cenoura e couve roxa</t>
  </si>
  <si>
    <t>Fruta da época (min. 3 variedades)/Fruta assada</t>
  </si>
  <si>
    <t>Fruta da época (min. 3 variedades)/ Gelatina</t>
  </si>
  <si>
    <t>Abóbora com massinhas</t>
  </si>
  <si>
    <t>Creme de cenoura com couve branca</t>
  </si>
  <si>
    <t>Filetes de pescada gratinados com batata corada/cozida</t>
  </si>
  <si>
    <t>Alface, couve-roxa e pepino</t>
  </si>
  <si>
    <t>Cenoura, couve roxa e tomate</t>
  </si>
  <si>
    <t>Fruta da época (min. 3 variedades)/Fruta cozida</t>
  </si>
  <si>
    <t>lombarda</t>
  </si>
  <si>
    <t>Creme de alho francês com couve-flor</t>
  </si>
  <si>
    <t>Salada do mar (Pescada, camarão, batata, cenoura e ervilhas)</t>
  </si>
  <si>
    <t>Arroz de aves (peru e frango)</t>
  </si>
  <si>
    <t>Alface, couve em juliana e milho</t>
  </si>
  <si>
    <t>Alface, beterraba e pepino</t>
  </si>
  <si>
    <t>Agrião</t>
  </si>
  <si>
    <t>Bacalhau gratinado</t>
  </si>
  <si>
    <t>Alho francês com curgete</t>
  </si>
  <si>
    <t>Espinafres com cenoura</t>
  </si>
  <si>
    <t>Febras de porco grelhadas com estufado de cogumelos e arroz de milho</t>
  </si>
  <si>
    <t>Alface, cenoura e curgete</t>
  </si>
  <si>
    <t>Cenoura, milho e tomate</t>
  </si>
  <si>
    <t>Alface, cenoura e couve-roxa</t>
  </si>
  <si>
    <t>Couve-de bruxelas, milho e tomate</t>
  </si>
  <si>
    <t>Fruta da época (min. 3 variedades) / Arroz doce</t>
  </si>
  <si>
    <t>Feijão branco</t>
  </si>
  <si>
    <t>Carne de vaca</t>
  </si>
  <si>
    <t>Couve-flor com cenoura</t>
  </si>
  <si>
    <t>Sopa da Horta</t>
  </si>
  <si>
    <t>Feijão-verde com couve lombarda</t>
  </si>
  <si>
    <t>Badejo gratinado com batata assada/cozida com brócolos</t>
  </si>
  <si>
    <t>Couve-roxa, pimento e tomate</t>
  </si>
  <si>
    <t>Alface, cenoura e milho</t>
  </si>
  <si>
    <t>Cenoura, couve-roxa e tomate</t>
  </si>
  <si>
    <t>Fruta da época (min. 3 variedades)/Leite-creme</t>
  </si>
  <si>
    <t>Alho-francês</t>
  </si>
  <si>
    <t>Almôndegas estufadas com esparguete e ervilhas</t>
  </si>
  <si>
    <t>Alface, cenoura e tomate</t>
  </si>
  <si>
    <t>Palmeta assada com cebola e puré de batata</t>
  </si>
  <si>
    <t>Milho, pepino e tomate</t>
  </si>
  <si>
    <t>Alface, couve-roxa e tomate</t>
  </si>
  <si>
    <t>Beterraba, cenoura e tomate</t>
  </si>
  <si>
    <t>Solha gratinada com macedónia de legumes e batata cozida</t>
  </si>
  <si>
    <t>Alface, cenoura e miho</t>
  </si>
  <si>
    <t>Sopa de tomate</t>
  </si>
  <si>
    <t>Bacalhau com broa</t>
  </si>
  <si>
    <t>Alface, milho e pimento</t>
  </si>
  <si>
    <t>Curgete, pepino e tomate</t>
  </si>
  <si>
    <t>Creme de alho francês com cenoura e curgete</t>
  </si>
  <si>
    <t>Fruta da época (min. 3 variedades) / Pudim</t>
  </si>
  <si>
    <t>Perna de peru assada com arroz de legumes (milho e brócolos)</t>
  </si>
  <si>
    <t>Fruta da época (min. 3 variedades) /Fruta cozida</t>
  </si>
  <si>
    <t>Vitela assada fatiada com massa fusilli</t>
  </si>
  <si>
    <t>Feijão branco com couve lombarda</t>
  </si>
  <si>
    <t>Frango assado com arroz de cenoura</t>
  </si>
  <si>
    <t>Massa de atum com legumes (cenoura, couve e ervilhas)</t>
  </si>
  <si>
    <t>Fruta da época (min. 3 variedades) /Arroz doce</t>
  </si>
  <si>
    <t>Fruta da época (min. 3 variedades) /Fruta assada</t>
  </si>
  <si>
    <t>Couve-roxa, pepino e tomate</t>
  </si>
  <si>
    <t>Alface, cenoura e pimento</t>
  </si>
  <si>
    <t>Creme de feijão-verde</t>
  </si>
  <si>
    <t>Couve-roxa, cenoura e tomate</t>
  </si>
  <si>
    <t>Fruta da época (min. 3 variedades) /Aletria</t>
  </si>
  <si>
    <t>Cebola</t>
  </si>
  <si>
    <t>Azeite</t>
  </si>
  <si>
    <t>Sal</t>
  </si>
  <si>
    <t>Alho</t>
  </si>
  <si>
    <t>160g</t>
  </si>
  <si>
    <t>40g</t>
  </si>
  <si>
    <t>35g</t>
  </si>
  <si>
    <t>25g</t>
  </si>
  <si>
    <t>3ml</t>
  </si>
  <si>
    <t>≤0,2g</t>
  </si>
  <si>
    <t>q.b.</t>
  </si>
  <si>
    <t>Grão-de-bico</t>
  </si>
  <si>
    <t>Massa</t>
  </si>
  <si>
    <t>Chouriço de carne</t>
  </si>
  <si>
    <t>Bacon</t>
  </si>
  <si>
    <t>Sumo de limão</t>
  </si>
  <si>
    <t>80g</t>
  </si>
  <si>
    <t>50g</t>
  </si>
  <si>
    <t>20g</t>
  </si>
  <si>
    <t>10g</t>
  </si>
  <si>
    <t>Salsa</t>
  </si>
  <si>
    <t>Orégãos</t>
  </si>
  <si>
    <t>140g</t>
  </si>
  <si>
    <t>Batata</t>
  </si>
  <si>
    <t>Coentros</t>
  </si>
  <si>
    <t>Louro</t>
  </si>
  <si>
    <t>270g</t>
  </si>
  <si>
    <t>100g</t>
  </si>
  <si>
    <t>15g</t>
  </si>
  <si>
    <t>10ml</t>
  </si>
  <si>
    <t>Coxas de Frango/Frango</t>
  </si>
  <si>
    <t>Alecrim</t>
  </si>
  <si>
    <t>220g</t>
  </si>
  <si>
    <t>Febra de porco</t>
  </si>
  <si>
    <t>Ervas aromáticas</t>
  </si>
  <si>
    <t>45g</t>
  </si>
  <si>
    <t>Peru</t>
  </si>
  <si>
    <t>Arroz</t>
  </si>
  <si>
    <t>110g</t>
  </si>
  <si>
    <t>≤ 0,2g</t>
  </si>
  <si>
    <t>Cogumelos</t>
  </si>
  <si>
    <t>Almôndegas</t>
  </si>
  <si>
    <t>150g</t>
  </si>
  <si>
    <t>Ervilhas</t>
  </si>
  <si>
    <t>Miolo de camarão</t>
  </si>
  <si>
    <t>Miolo de berbigão</t>
  </si>
  <si>
    <t>Pimento vermelho</t>
  </si>
  <si>
    <t>Açafrão</t>
  </si>
  <si>
    <t>60g</t>
  </si>
  <si>
    <t>30g</t>
  </si>
  <si>
    <t>Chouriço</t>
  </si>
  <si>
    <t>Gema de ovo pasteurizada</t>
  </si>
  <si>
    <t>250g</t>
  </si>
  <si>
    <t>Leite</t>
  </si>
  <si>
    <t>20ml</t>
  </si>
  <si>
    <t>Feijão vermelho seco</t>
  </si>
  <si>
    <t>Lombo/Pá de porco</t>
  </si>
  <si>
    <t>Noz-moscada</t>
  </si>
  <si>
    <t>Cominhos</t>
  </si>
  <si>
    <t>Peito de frango</t>
  </si>
  <si>
    <t>Massa fusili</t>
  </si>
  <si>
    <t>Milho</t>
  </si>
  <si>
    <t>Vinagre</t>
  </si>
  <si>
    <t>120g</t>
  </si>
  <si>
    <t>200g</t>
  </si>
  <si>
    <t>Picar a cebola, o alho e o tomate e levar ao lume com a carne previamente temperada com sal e orégãos. Ir acrescentando água se necessário deixar estufar até a carne atingir a temperatura e consistência de confecionado.</t>
  </si>
  <si>
    <t>Manjericão</t>
  </si>
  <si>
    <t>Pernas de Peru/Peru</t>
  </si>
  <si>
    <t>Hambúrguer estufado</t>
  </si>
  <si>
    <t>55g</t>
  </si>
  <si>
    <t>F.T.P.1</t>
  </si>
  <si>
    <t>Pão ralado</t>
  </si>
  <si>
    <t>Leite de vaca UHT meio gordo</t>
  </si>
  <si>
    <t>F.T.P.4</t>
  </si>
  <si>
    <t>Bacalhau</t>
  </si>
  <si>
    <t>130g</t>
  </si>
  <si>
    <t>5ml</t>
  </si>
  <si>
    <t>F.T.P.5</t>
  </si>
  <si>
    <t>Tomilho</t>
  </si>
  <si>
    <t>170g</t>
  </si>
  <si>
    <t>F.T.P.6</t>
  </si>
  <si>
    <t>F.T.P.7</t>
  </si>
  <si>
    <t>Atum em conserva</t>
  </si>
  <si>
    <t>Feijão-frade</t>
  </si>
  <si>
    <t>F.T.P.9</t>
  </si>
  <si>
    <t>Couve-galega</t>
  </si>
  <si>
    <t>Broa de milho</t>
  </si>
  <si>
    <t>F.T.P.10</t>
  </si>
  <si>
    <t>Atum</t>
  </si>
  <si>
    <t>F.T.P.11</t>
  </si>
  <si>
    <t>F.T.P.12</t>
  </si>
  <si>
    <t>F.T.P.13</t>
  </si>
  <si>
    <t>F.T.P.14</t>
  </si>
  <si>
    <t>240g</t>
  </si>
  <si>
    <t>F.T.P.15</t>
  </si>
  <si>
    <t>Azeitonas pretas</t>
  </si>
  <si>
    <t>Óleo de amendoim/girassol</t>
  </si>
  <si>
    <t>F.T.P.16</t>
  </si>
  <si>
    <t>Batatas</t>
  </si>
  <si>
    <t>F.T.P.17</t>
  </si>
  <si>
    <t>F.T.P.18</t>
  </si>
  <si>
    <t>F.T.P.19</t>
  </si>
  <si>
    <t>190g</t>
  </si>
  <si>
    <t>Abóbora</t>
  </si>
  <si>
    <t>Lavar, descascar e cortar as batatas, a cenoura, a cebola e o alho. Cozer todo o preparado, exceto metade das cenouras, em água. Depois de cozido, acrescentar o feijão-verde, a abóbora e a restante cenoura cortada aos cubos e previamente lavada. Retificar o tempero e no final da cozedura, juntar o azeite.</t>
  </si>
  <si>
    <t>Nabo</t>
  </si>
  <si>
    <t>Lavar, descascar e cortar as batatas, as cebolas, o nabo e o alho e cozer. Depois de cozido triturar e adicionar o feijão-verde e a cenoura previamente cortados em porções pequenas e a ervilha. Deixar cozer, retificar o tempero e no final adicionar o azeite.</t>
  </si>
  <si>
    <t>Repolho</t>
  </si>
  <si>
    <t>Lavar e descascar as cenouras, as batatas, a abóbora, o nabo e as cebolas. Preparar a cenoura aos quadradinhos. Numa panela colocar a água com as batatas, nabo e a cebola. Deixar cozer. Triturar a base da sopa. Juntar a cenoura, o repolho e as ervilhas e deixar cozer. No final da cozedura, retificar o tempero e adicionar o azeite.</t>
  </si>
  <si>
    <t>Lavar, descascar e cortar metade das cenouras, as batatas, as cebolas, o alho e o nabo. Colocar tudo numa panela e deixar cozer. Depois de cozido reduzir tudo a puré e adicionar a cenoura (cortada aos cubos), o repolho (em juliana) e as ervilhas e deixar cozer. Retificar o tempero e no final adicionar o azeite.</t>
  </si>
  <si>
    <t>De véspera, demolhar o feijão. No dia, lavar, descascar e cortar as batatas, as cebolas e o alho e preparar a couve-lombarda cortada em juliana. Cozer as batatas, as cebolas e o alho em água. Seguidamente triturar tudo com algum feijão, previamente cozido, e adicionar a água de cozer o feijão. Acrescentar a couve-lombarda e deixar cozer. Adicionar o restante feijão, retificar o tempero e juntar o azeite no final da cozedura.</t>
  </si>
  <si>
    <t>Feijão Vermelho</t>
  </si>
  <si>
    <t>Demolhar o feijão de véspera. Lavar, descascar e cortar as batatas, as cebolas, os alhos e metade das cenouras e cozer em água. Depois de cozidos, adicionar metade do feijão (previamente cozido) e a água de o cozer e triturar o preparado. Juntar a couve lombarda (cortada em juliana) e o resto das cenouras (cortada aos cubos) até cozer. Antes do final da cozedura, adicionar o resto do feijão e se necessário alguma água de o cozer. Retificar o tempero. Após cozedura adicionar o azeite.</t>
  </si>
  <si>
    <t>Couve portuguesa</t>
  </si>
  <si>
    <t>Demolhar o feijão de véspera. No dia, lavar, descascar e cortar os ingredientes e cozer em água, exceto o feijão (cozido previamente) e a couve (previamente lavada e cortada às tiras). Após cozer, triturar o preparado e adicionar o feijão e a couve. Retificar o tempero). No fim da cozedura, acrescentar o azeite.</t>
  </si>
  <si>
    <t>Couve-portuguesa</t>
  </si>
  <si>
    <t>Feijão</t>
  </si>
  <si>
    <t>Demolhar o feijão de véspera. Lavar, descascar e cortar os ingredientes e cozer em água, exceto a couve portuguesa e metade do feijão (previamente cozido). Após cozer, triturar o preparado e adicionar a couve portuguesa (cortada em juliana) e o restante feijão. No fim da cozedura, acrescentar o azeite.</t>
  </si>
  <si>
    <t>Curgete</t>
  </si>
  <si>
    <t>Demolhar o feijão de véspera. No dia, lavar, descascar e cortar as batatas, metade das cenouras e as cebolas e levar a cozer em água. Adicionar cerca de metade do feijão (previamente cozido) ao preparado anterior. Triturar o preparado e juntar a couve lombarda (previamente cortada e lavada) e o resto das cenouras até cozer. Antes do final da cozedura, adicionar o restante feijão e deixar apurar. No final retificar o tempero e acrescentar o azeite.</t>
  </si>
  <si>
    <t>Caldo- verde</t>
  </si>
  <si>
    <t>0,2g</t>
  </si>
  <si>
    <t>Lavar e descascar a batata, o alho, e a cebola. Cozer em água. Depois de cozido, triturar os legumes. Juntar o caldo-verde e deixar cozer. No final da cozedura adicionar o azeite e retificar o tempero. Servir com chouriço previamente cozido.</t>
  </si>
  <si>
    <t>Massa cotovelos</t>
  </si>
  <si>
    <t>DIETA MEDITERRÂNICA - Lote 3 e 4</t>
  </si>
  <si>
    <t>Açúcares
(g)</t>
  </si>
  <si>
    <t>Proteínas (g)</t>
  </si>
  <si>
    <t>Grão-de-bico com cubinhos de cenoura e nabo</t>
  </si>
  <si>
    <t>319,7/371,3</t>
  </si>
  <si>
    <t>76,4/88,7</t>
  </si>
  <si>
    <t>0,5/2,0</t>
  </si>
  <si>
    <t>0,2/1,1</t>
  </si>
  <si>
    <t>16,9/12,6</t>
  </si>
  <si>
    <t>16,7/12,6</t>
  </si>
  <si>
    <t>1,1/5,1</t>
  </si>
  <si>
    <t>0/0,2</t>
  </si>
  <si>
    <t>319,7/610,3</t>
  </si>
  <si>
    <t>76,4/145,8</t>
  </si>
  <si>
    <t>0,5/1,7</t>
  </si>
  <si>
    <t>0,2/0,9</t>
  </si>
  <si>
    <t>16,9/27,6</t>
  </si>
  <si>
    <t>16,7/12,0</t>
  </si>
  <si>
    <t>1,1/4,7</t>
  </si>
  <si>
    <t>0/0,1</t>
  </si>
  <si>
    <t>319,7/346,8</t>
  </si>
  <si>
    <t>76,4/82,9</t>
  </si>
  <si>
    <t>0,5/0,8</t>
  </si>
  <si>
    <t>0,2/0,1</t>
  </si>
  <si>
    <t>16,9/19,4</t>
  </si>
  <si>
    <t>16,7/19,4</t>
  </si>
  <si>
    <t>1,1/0,4</t>
  </si>
  <si>
    <t>0/0</t>
  </si>
  <si>
    <t>319,7/386,9</t>
  </si>
  <si>
    <t>76,4/92,4</t>
  </si>
  <si>
    <t>0,5/3,2</t>
  </si>
  <si>
    <t>0,2/1,3</t>
  </si>
  <si>
    <t>16,9/12,0</t>
  </si>
  <si>
    <t>1,1/4,2</t>
  </si>
  <si>
    <t>319,7/431,2</t>
  </si>
  <si>
    <t>76,4/103,0</t>
  </si>
  <si>
    <t>0,5/3,1</t>
  </si>
  <si>
    <t>16,9/14,8</t>
  </si>
  <si>
    <t>16,7/14,8</t>
  </si>
  <si>
    <t>1,1/4,1</t>
  </si>
  <si>
    <t>Fruta da época (min. 3 variedades)/Pudim</t>
  </si>
  <si>
    <t>319,7/281,6</t>
  </si>
  <si>
    <t>76,4/67,3</t>
  </si>
  <si>
    <t>0,5/0,1</t>
  </si>
  <si>
    <t>0,2/0</t>
  </si>
  <si>
    <t>16,9/2,4</t>
  </si>
  <si>
    <t>16,7/2,4</t>
  </si>
  <si>
    <t>1,1/14,1</t>
  </si>
  <si>
    <t>0/0,0</t>
  </si>
  <si>
    <t>319,7/820,9</t>
  </si>
  <si>
    <t>76,4/196,2</t>
  </si>
  <si>
    <t>0,5/3,7</t>
  </si>
  <si>
    <t>0,2/1,4</t>
  </si>
  <si>
    <t>16,9/32,4</t>
  </si>
  <si>
    <t>16,7/12,1</t>
  </si>
  <si>
    <t>1,1/7,9</t>
  </si>
  <si>
    <t>319,7/233,6</t>
  </si>
  <si>
    <t>76,4/55,8</t>
  </si>
  <si>
    <t>0,5/0,0</t>
  </si>
  <si>
    <t>0,2/0,0</t>
  </si>
  <si>
    <t>16,9/0,0</t>
  </si>
  <si>
    <t>16,7/0,0</t>
  </si>
  <si>
    <t>1,1/13,9</t>
  </si>
  <si>
    <t>0,0/0,0</t>
  </si>
  <si>
    <t>Estufar o atum,  previamente escorrido, com tomate, cebola, louro,  orégãos e azeite. Picar  o alho e a cebola e estufar em azeite. Adicionar água ao preparado. Após fervura acrescentar o arroz. No final misturar o atum.</t>
  </si>
  <si>
    <t>Tomate pelado/triturado</t>
  </si>
  <si>
    <t>0,1g</t>
  </si>
  <si>
    <t>De véspera, demolhar o bacalhau em água. No dia, levar  ao forno com alho picado  e azeite.</t>
  </si>
  <si>
    <t>Tintureira estufada com ervas aromáticas</t>
  </si>
  <si>
    <t>Tintureira</t>
  </si>
  <si>
    <t>Após limpar  e preparar o peixe, previamente descongelado, temperar com sal. Estufar a cebola, o alho, as ervas aromáticas, o tomate cortado aos pedaços e o azeite. Colocar  o peixe em tabuleiro, regar com o preparado anterior e levar  ao forno convetor OU colocar todos os ingredientes num tacho e levar  ao lume.</t>
  </si>
  <si>
    <t>Arinca no forno</t>
  </si>
  <si>
    <t>Arinca</t>
  </si>
  <si>
    <t>Lavar,  preparar e temperar o peixe, previamente descongelado, com sal, alho, sumo de limão e ervas aromáticas, de véspera. Colocar  o peixe num tabuleiro previamente untado com um pouco de azeite e cebola às rodelas. Por cima do peixe regar com o tomate e levar  ao forno.</t>
  </si>
  <si>
    <t>Badejo gratinado</t>
  </si>
  <si>
    <t>Badejo</t>
  </si>
  <si>
    <t>De véspera, limpar,  preparar e temperar o peixe, previamente descongelado, com as ervas aromáticas, o sumo de limão, o alho e o sal. No dia, dispor no tabuleiro o azeite, a cebola, o peixe e polvilhar com pão ralado, cenoura ralada fina  e levar  ao forno, deixando gratinar.</t>
  </si>
  <si>
    <t>Palmeta assada com cebola</t>
  </si>
  <si>
    <t>Palmeta</t>
  </si>
  <si>
    <t>Lavar,  preparar e temperar o peixe, previamente descongelado, com sal, alho, sumo de limão e ervas aromáticas, de véspera. Colocar  o peixe num tabuleiro previamente untado com um pouco de azeite e cebola às rodelas e levar  ao forno.</t>
  </si>
  <si>
    <t>Flietes de pescada gratinados</t>
  </si>
  <si>
    <t>165g</t>
  </si>
  <si>
    <t>De véspera, limpar,  preparar e temperar o peixe com as ervas aromáticas, o sumo de limão, o alho e o sal. No dia, dispor no tabuleiro o azeite, a cebola, o peixe e polvilhar com pão ralado, cenoura ralada fina  e levar  ao forno, deixando gratinar.</t>
  </si>
  <si>
    <t>Salada de atum  com feijão frade (atum, batata, ovo e cenoura)</t>
  </si>
  <si>
    <t>De véspera, demolhar o feijão-frade. No dia cozer o feijão- frade e a batata em água e sal e separados. Após cozido, colocar o feijão-frade num tabuleiro, a batata cortada em cubos, picar o ovo e juntar, assim  como o atum  já escorrido e a salsa. Envolver  o preparado e adicionar azeite e vinagre. Colocar  a cebola picada à disposição.</t>
  </si>
  <si>
    <t>Ovo  cozido pasteurizado (1 unidade)</t>
  </si>
  <si>
    <t>Antecipadamente demolhar o baclhau. No dia cozer o bacalhau e desfiar. Triturar a broa e cortar a couve-galega às tiras grossas. Cozer a couve em água e sal. Estufar a cebola, o azeite, o alho picado  e a folha de louro.  Juntar  o bacalhau e misturar com as tiras de couve.  Descascar as batatas, cortar em rodelas finas e cozer de preferência a vapor.  Dispor  num tabuleiro as batatas, o preparado de bacalhau, envolvido  com ovo, previamente batido, e por cima polvilhar com a broa de milho. Regar com azeite e levar  ao forno.</t>
  </si>
  <si>
    <t>Migas de bacalhau</t>
  </si>
  <si>
    <t>Ovo  cozido pasteurizado (1/2 unidade)</t>
  </si>
  <si>
    <t>Pescada gratinada</t>
  </si>
  <si>
    <t>Pescada</t>
  </si>
  <si>
    <t>Limpar,  preparar e temperar o peixe, previamente descongelado, com sal, sumo de limão, alho e as ervas aromáticas. Num tacho adicionar azeite e o leite, deixando- o cair  em fio e mexendo sempre para não deixar engrossar. Posteriormente colocar o peixe num tabuleiro, regar com o preparado de leite e levar  ao forno a gratinar.</t>
  </si>
  <si>
    <t>Leite de vaca UHT  meio  gordo</t>
  </si>
  <si>
    <t>Redfish estufado</t>
  </si>
  <si>
    <t>Red-fish</t>
  </si>
  <si>
    <t>Após limpar  e preparar o peixe, previamente descongelado, temperar com sal. Estufar a cebola, o alho, as ervas aromáticas, o tomate e o azeite. Colocar  o peixe em tabuleiro, regar com o preparado anterior e levar  ao forno convetor OU colocar todos os ingredientes num tacho e levar  ao lume.</t>
  </si>
  <si>
    <t>Pescada assada</t>
  </si>
  <si>
    <t>Lavar,  preparar e temperar o peixe, previamente descongelado, com sal, alho, sumo de limão e ervas aromáticas, de preferência de véspera. Colocar  o peixe num tabuleiro previamente untado com um pouco de azeite e cebola às rodelas. Por cima do peixe regar com o tomate aos cubos sem sementes e levar  ao forno.</t>
  </si>
  <si>
    <t>Massa de atum  com legumes (cenoura, couve  e ervilhas)</t>
  </si>
  <si>
    <t>Descascar a cebola, o alho e picar e deitar num tacho com um fio de azeite, juntamente com o tomate partido em pequenos pedaços e os orégãos e estufar em lume brando. Entretanto cozer também a couve,  a cenoura e as ervilhas e escorrer para libertar o excesso de água. Seguidamente escorrer o atum  e misturar com o estufado. Acrescentar os legumes cozidos já partidos aos pedaços e envolver bem. Acompanhar com massa cozida em água com sal.</t>
  </si>
  <si>
    <t>Couve  lombarda</t>
  </si>
  <si>
    <t>Peixe prata gratinado</t>
  </si>
  <si>
    <t>Peixe prata</t>
  </si>
  <si>
    <t>De véspera, demolhar o grão-de-bico e o bacalhau (em separado). No dia cozer o grão-de-bico, o bacalhau em separado. Assim  que estiverem cozidos, retirar o bacalhau e cortar o ovo em rodelas. Adicionar o bacalhau e o ovo ao grão-de-bico. Picar  os dentes de alho, a cebola e a salsa. Regar com os temperos (mistura de salsa, alho, cebola, vinagre e azeite).</t>
  </si>
  <si>
    <t>Salmão grelhado</t>
  </si>
  <si>
    <t>Salmão</t>
  </si>
  <si>
    <t>Após limpar  e preparar o peixe, previamente descongelado, temperar com sal, salsa, sumo de limão e alho picado. Grelhar em grelhador ou nas grelhas do forno convetor.</t>
  </si>
  <si>
    <t>Salmão gratinado</t>
  </si>
  <si>
    <t>Abrótea estufada</t>
  </si>
  <si>
    <t>Abrótea</t>
  </si>
  <si>
    <t>Após limpar  e preparar o peixe, previamente descongelada, temperar com sal. Estufar a cebola, o alho, as ervas aromáticas, o tomate cortado aos pedaços e o azeite. Colocar  o peixe em tabuleiro, regar com o preparado anterior e levar  ao forno convetor OU colocar todos os ingredientes num tacho e levar  ao lume.</t>
  </si>
  <si>
    <t>Rissóis de atum (3  unid.)</t>
  </si>
  <si>
    <t>Fritar os rissóis em óleo.</t>
  </si>
  <si>
    <t>F.T.P.20</t>
  </si>
  <si>
    <t>Pescada cozida</t>
  </si>
  <si>
    <t>Arranjar o peixe, previamente descongelado, e cozer em água com sal.</t>
  </si>
  <si>
    <t>F.T.P.21</t>
  </si>
  <si>
    <t xml:space="preserve">Descascar a cebola, os alhos  e picar. Estufar o azeite, a cebola, os alhos,  o tomate. Após estarem estufados adicionar o miolo de camarão, o miolo de berbigão e água q.b. Posteriormente juntar a massa. Minutos antes do final  da cozedura da massa, rectificar o tempero, adicionar a pescada, previamente cozida e desfiada e envolver. No final, polvilhar com salsa. </t>
  </si>
  <si>
    <t>F.T.P.22</t>
  </si>
  <si>
    <t>Lombinhos de pescada no forno</t>
  </si>
  <si>
    <t>Lombinhos de pescada</t>
  </si>
  <si>
    <t>Lavar,  preparar e temperar o peixe com sal, alho, sumo de limão e ervas aromáticas, de preferência de véspera. Colocar  o peixe num tabuleiro previamente untado com um pouco de azeite e cebola às rodelas. Por cima do peixe regar com o tomate e levar  ao forno.</t>
  </si>
  <si>
    <t>F.T.P.23</t>
  </si>
  <si>
    <t xml:space="preserve">Solha assada </t>
  </si>
  <si>
    <t>Solha</t>
  </si>
  <si>
    <t>F.T.P.24</t>
  </si>
  <si>
    <t>Bacalhau à Gomes  de Sá</t>
  </si>
  <si>
    <t>De véspera demolhar o bacalhau. No dia cozer o bacalhau, e desfiar em lascas. Cortar as cebolas e os alhos  às rodelas; alourar ligeiramente com um pouco de azeite. Adicionar as batatas, que foram cozidas, cortadas às rodelas. Juntar  o bacalhau escorrido. Mexer tudo ligeiramente. Colocar  o preparado num tabuleiro. Levar  a forno bem quente e regar com azeite. Servir com rodelas de ovo cozido  e azeitonas pretas.</t>
  </si>
  <si>
    <t>F.T.P.25</t>
  </si>
  <si>
    <t>Granadeiro</t>
  </si>
  <si>
    <t>F.T.P.26</t>
  </si>
  <si>
    <t>Arroz de frutos do mar  (pescada, camarão e berbigão)</t>
  </si>
  <si>
    <t>Descascar a cebola, os alhos  e picar. Estufar o azeite, a cebola, os alhos  e o tomate. Após estarem estufados adicionar o miolo de camarão, o miolo de berbigão e água q.b. Posteriormente juntar o arroz. Minutos antes do final  da cozedura do arroz adicionar a pescada, previamente cozida e desfiada e envolver. No final,  polvilhar com salsa.</t>
  </si>
  <si>
    <t>F.T.P.27</t>
  </si>
  <si>
    <t>Empadão de atum  com arroz, ervilhas e cenoura</t>
  </si>
  <si>
    <t>Estufar o atum,  previamente escorrido, com tomate, cebola, louro,  orégãos, ervilhas e cenoura (previamente cozidas) e azeite. Adicionar água ao preparado. Após fervura acrescentar o arroz. Num tabuleiro dispor alternadamente camadas de arroz branco e atum.  Na última  camada de arroz pincelar com o ovo batidoe levar  ao forno.</t>
  </si>
  <si>
    <t>Ovo  líquido pasteurizado</t>
  </si>
  <si>
    <t>F.T.P.28</t>
  </si>
  <si>
    <t>Lulas/Pota</t>
  </si>
  <si>
    <t>Lavar  e preparar as lulas/potas às rodelas, previamente descongeladas. Temperar com sumo de limão e sal. Fazer um estufado com azeite, cebola, louro,  alho e o tomate. Acrescentar água e um pouco de sal e deixar levantar fervura. Acrescentar as lulas/potas e deixar cozinhar. Por fim, juntar o arroz, deixar ao lume até cozer. Polvilhar  com salsa picada.</t>
  </si>
  <si>
    <t>F.T.P.29</t>
  </si>
  <si>
    <t>Badejo estufado</t>
  </si>
  <si>
    <t>F.T.P.30</t>
  </si>
  <si>
    <t>Salada do mar  (pescada, camarão, batata, cenoura e ervilhas)</t>
  </si>
  <si>
    <t>Após lavar  e preparar o peixe, previamente descongelado, cozer em água (ou a vapor)  com sal. Após a cozedura, desfiar o peixe em lascas. Cozer os legumes e as batatas separadamente (em água ou a vapor)  e escorrer. De seguida, colocar os legumes e a batata num tabuleiro e dispor a pescada, o camarão e o ovo cozido  e picado  por cima dos mesmos. Envolver  tudo muito  bem sem desfazer muito.  Pode ser temperado com azeite e vinagre ou maionese.</t>
  </si>
  <si>
    <t>Maionese (1 dose individual)</t>
  </si>
  <si>
    <t>F.T.P.31</t>
  </si>
  <si>
    <t>Tesourinhos no forno</t>
  </si>
  <si>
    <t>Tesourinhos (5  unidades)</t>
  </si>
  <si>
    <t>Colocar  os tesourinhos num tabuleiro e levar  ao forno para serem confecionados.</t>
  </si>
  <si>
    <t>F.T.P.32</t>
  </si>
  <si>
    <t>Bacalhau gratinado (bacalhau, batata e cenoura) com molho bechamel</t>
  </si>
  <si>
    <t>Previamente demolhar o bacalhau. Arranjar, cortar e cozer em água com sal as batatas e as cenouras. Cozer o bacalhau em água. À parte aquecer a farinha. Depois  juntar o leite fervido e mexer bem. Deixar cozinhar um pouco. Num tabuleiro que possa ir ao forno misturar o bacalhau com as batatas e as cenouras e envolver no molho bechamel. Levar  ao forno para gratinar.</t>
  </si>
  <si>
    <t>Farinha de trigo</t>
  </si>
  <si>
    <t>Leite UHT  meio  gordo</t>
  </si>
  <si>
    <t>F.T.P.33</t>
  </si>
  <si>
    <t>Barrinhas de pescada no forno</t>
  </si>
  <si>
    <t>Barrinhas de pescada (5  unidades)</t>
  </si>
  <si>
    <t>Colocar  as barrinhas de pescada num tabuleiro e levar  ao forno para serem confecionados.</t>
  </si>
  <si>
    <t>F.T.P.34</t>
  </si>
  <si>
    <t>Filetes de pescada fritos</t>
  </si>
  <si>
    <t>Temperar os filetes com sal, sumo de limão e alho. Passar por farinha de milho e fritar.</t>
  </si>
  <si>
    <t>Farinha de milho</t>
  </si>
  <si>
    <t>F.T.P.35</t>
  </si>
  <si>
    <t>Solha gratinada</t>
  </si>
  <si>
    <t>De véspera, limpar, preparar e temperar o peixe, previamente descongelado, com as ervas aromáticas, o sumo de limão, o alho e o sal. No dia, dispor no tabuleiro o azeite, a cebola, o peixe e polvilhar com pão ralado, cenoura ralada fina e levar ao forno,</t>
  </si>
  <si>
    <t>Levar a cebola e o alho. Num tacho colocar o tomate, a cebola picada, salsa, azeite, orégãos e sal e levar a estufar. Triturar tudo. Adicionar as almôndegas ao preparado anterior e levar ao lume ou dispô-las em tabuleiro regado com o estufado anterior e levar ao forno.</t>
  </si>
  <si>
    <t>Frango corado com orégãos</t>
  </si>
  <si>
    <t>De véspera, após o produto descongelado, lavar, preparar e temperar a carne com uma marinada de sumo de limão, alho picado, sal e orégãos e reservar em ambiente refrigerado. Posteriormente levar as coxas de frango/frango ao forno quente, disposto em tabuleiro e levar ao forno a assar.</t>
  </si>
  <si>
    <t>Rancho (carne de vaca, porco, bacon, grão-de-bico, couve lombarda, cenoura e macarronete)</t>
  </si>
  <si>
    <t>De véspera demolhar o grão-de-bico. Lavar e cortar as carnes e temperar com louro e sal. No dia, preparar a cenoura aos cubos e a couve lombarda em gomos. Cozer o grão-de-bico em água e sal. Estufar as carnes, com a cenoura, a couve lombarda, azeite, sal, cebola picada, alho, louro e tomate. Num tacho à parte cozer a massa. Após cozedura do estufado acrescentar ao preparado o grão-de- bico, a água onde cozeu o grão-de-bico, a massa e o bacon e deixar apurar.</t>
  </si>
  <si>
    <t>Carne de vaca estufada</t>
  </si>
  <si>
    <t>Strogonoff de frango</t>
  </si>
  <si>
    <t>Após a descongelação, cortar a carne em tiras pequenas. Lavar e picar o alho e a cebola, juntar a carne, regar com azeite e levar a lume brando. Antes do final da cozedura, adicionar os cogumelos e o leite até apurar.</t>
  </si>
  <si>
    <t>Lulas/Potas</t>
  </si>
  <si>
    <t>Lavar e picar a cebola e o alho. De véspera descongelar as lulas/potas. No dia lavar e cortar as lulas/potas às rodelas e a carne aos cubos. Estufar as carnes e as lulas juntamente com as ervilhas, a cebola, o alho, o azeite e o louro. Temperar com sal e deixar a cozer. Posteriormente adicionar a água q.b., o arroz e os miolos de camarão e berbigão. Deixar cozer em lume brando e no final da cozedura adicionar o açafrão, verificar os temperos e decorar com tiras de pimento.</t>
  </si>
  <si>
    <t>Carne de porco assada</t>
  </si>
  <si>
    <t>De véspera, e após descongelação da carne, temperar a carne com alho, sal, sumo de limão e as ervas aromáticas indicadas. Lavar as cebolas e o alho. Descascar as cebolas e cortá-las em rodelas e picar o alho. Nos tabuleiros, colocar um pouco de azeite no fundo e seguidamente a cebola e o alho e depois a carne e levar ao forno. No final da cozedura, cortar às fatias e proceder ao reaquecimento antes de servir.</t>
  </si>
  <si>
    <t>Carne de vaca assada fatiada</t>
  </si>
  <si>
    <t>De véspera, fazer uma marinada com sumo de limão, alho picado, sal, manjericão, salsa, orégãos e um pouco de azeite e envolver na carne, descongelada de véspera,  deixando esta em ambiente refrigerado até ao momento da confeção. Colocar a carne num tabuleiro untado com azeite e levar ao forno. Depois de atingir a temperatura de confeção, cortar a carne às fatias e proceder ao requecimento antes de servir.</t>
  </si>
  <si>
    <t>Febras de porco grelhadas/gratinadas com estufado de ervilhas</t>
  </si>
  <si>
    <t>Febras de porco grelhadas:</t>
  </si>
  <si>
    <t>Preparar o alho, a cebola, a cenoura, o tomate e as ervilhas e levar a estufar com azeite e ervas aromáticas. Após o produto descongelado, temperar as febras de porco com sal e alho picado e levar a grelhar. Após cozedura regar o estufado por cima das febras.</t>
  </si>
  <si>
    <t>Febras de porco gratinadas:</t>
  </si>
  <si>
    <t>Preparar o alho, a cebola, a cenoura, o tomate e as ervilhas e levar a estufar com azeite e ervas aromáticas. Após o produto descongelado, temperar as febras de porco com sal e alho picado. Num tabuleiro, dispor as febras de porco e regar com o estufado por cima e levar a gratinar.</t>
  </si>
  <si>
    <t>Peru assado</t>
  </si>
  <si>
    <t>Peru/Pernas de peru</t>
  </si>
  <si>
    <t>De véspera, lavar a carne, após descongelação e cortar e seguidamente fazer uma marinada de sumo de limão, alho picado, sal e ervas aromáticas. Colocar a carne a marinar em ambiente refrigerado. No dia, levar a carne a forno quente, em tabuleiro, com a pele virada para cima. Envolver a carne com o caldo que se vai formando, até ficar assado.</t>
  </si>
  <si>
    <t>Arroz de carnes mistas (carne de vaca e carne de porco)</t>
  </si>
  <si>
    <t>De véspera, após descongelação cortar as carnes e temperar com sumo de limão, louro e sal. No dia, lavar e preparar a cenoura aos cubos e picar a cebola e o alho. Estufar as carnes com a cenoura, azeite, cebola picada, alho e louro. Após cozedura adicionar água e deixar levantar fervura para juntar o arroz. Após cozedura, polvilhar com salsa.</t>
  </si>
  <si>
    <t>Frango assado</t>
  </si>
  <si>
    <t>De véspera, após descongelação, lavar, preparar e temperar a carne com uma marinada de sumo de limão, alho picado, sal e ervas aromáticas e reservar em ambiente refrigerado. No dia, levar as coxas de frango/frango ao forno quente, disposto em tabuleiro e levar ao forno a assar.</t>
  </si>
  <si>
    <t>Vitela assada fatiada</t>
  </si>
  <si>
    <t>Vitela</t>
  </si>
  <si>
    <t>De véspera fazer uma marinada com sumo de limão, alho picado, sal, manjericão, salsa, orégãos e um pouco de azeite. Envolver na carne, descongelada de véspera, deixando esta em ambiente refrigerado até ao momento da confeção. No dia, colocar a carne num tabuleiro untado com azeite e levar ao forno. Depois de atingir a temperatura de confeção, cortar a carne às fatias e proceder ao requecimento para servir.</t>
  </si>
  <si>
    <t>Hambúrguer de aves no forno</t>
  </si>
  <si>
    <t>Hambúrguer de aves (2 unid. 80g)</t>
  </si>
  <si>
    <t>Lavar e picar a cebola e o alho. Estufar a cebola, o alho, o tomate e triturar tudo. Adicionar ervas aromáticas e apurar. Dispor os hambúrgueres em tabuleiro, regar com o estufado e levar ao forno.</t>
  </si>
  <si>
    <t>Salada de frango</t>
  </si>
  <si>
    <t>De véspera descongelar o frango. No dia cozer o frango em água, sal e cebola e desfia-lo após a cozedura. Cozer os vegetais cortando a cenoura previamente (em água ou a vapor) e a massa fusili separadamente. De seguida, dispor  no tabuleiro em camadas a massa fusili, os legumes, o frango e o ovo cozido e picado alternadamente. Proceder ao reaquecimento antes de servir. Pode ser temperado com azeite e vinagre ou maniones</t>
  </si>
  <si>
    <t>Ovo cozido pasteurizado (1 unidade)</t>
  </si>
  <si>
    <t>Carne de porco estufada</t>
  </si>
  <si>
    <t>Temperar previamente a carne, após descongelação. Picar a cebola, o alho e o tomate e levar ao lume com a carne temperada com sal e ervas aromáticas. Ir acrescentando água se necessário deixar estufar até a carne atingir a temperatura e consistência de confecionado.</t>
  </si>
  <si>
    <t>Rolo de carne no forno com orégãos</t>
  </si>
  <si>
    <t>Rolo de carne</t>
  </si>
  <si>
    <t>Dispor o rolo de carne em tabuleiro, com a cebola e o alho picado, regar com azeite e orégãos e levar ao forno.</t>
  </si>
  <si>
    <t>Perna de peru assada com laranja</t>
  </si>
  <si>
    <t>De véspera, lavar a carne, após descongelação, cortar e seguidamente fazer uma marinada com laranja às rodelas, alho picado e sal e colocar a carne a marinar em ambiente refrigerado. No dia levar a carne a forno quente, em tabuleiro, com a pele virada para cima. Envolver a carne com o caldo que se vai formando, até ficar assado.</t>
  </si>
  <si>
    <t>Arroz misto de carnes com feijão branco, couve lombarda e cenoura</t>
  </si>
  <si>
    <t>De véspera demolhar o feijão. No dia cozer o feijão em água com sal. Levar a carne de vaca, a carne de porco e o frango, após descongelação, a cozer em água temperada com sal, alho, sumo de limão, louro e ervas aromáticas. Após cozedura, desfiar as carnes. Num outro tacho estufar o azeite, a cebola e o alho até apurar. Adicionar a água de cozedura das aves no estufado, a couve lombarda e a cenoura previamente arranjadas e confecionar o arroz. No final misturar as carnes desfiadas com o arroz e reaquecer antes de servir.</t>
  </si>
  <si>
    <t>Febras de porco grelhadas/gratinadas com molho de cogumelos</t>
  </si>
  <si>
    <t>Lavar e picar a cebola e o alho e levar ao lume a estufar adicionando o azeite. Seguidamente acrescentar os cogumelos e deixar estufar. Após descongelação temperar as febras com sal, sumo de limão, alho e ervas aromáticas e levar a grelhar. Ao servir, regar as febras com o molho de cogumelos.</t>
  </si>
  <si>
    <t>Lavar e picar a cebola e o alho e levar ao lume a estufar adicionando o azeite. Seguidamente acrescentar os cogumelos e deixar estufar. Após descongelação temperar as febras com sal, sumo de limão, alho e ervas aromáticas. Dispor as febras num tabuleiro, regar com o molho de cogumelos e levar ao forno a gratinar.</t>
  </si>
  <si>
    <t>Frango estufado com ervilhas</t>
  </si>
  <si>
    <t>De véspera, após descongelação, limpar e cortar a carne em peças e temperar com sal, sumo de limão e alho. No dia, lavar e picar a cebola, o alho, a salsa e o tomate em pedaços pequenos. Estufar os ingredientes referidos com ervilhas e azeite. Adicionar a carne ao preparado, em lume médio até cozer.</t>
  </si>
  <si>
    <t>Carne à Bolonhesa</t>
  </si>
  <si>
    <t>Carne picada</t>
  </si>
  <si>
    <t>Lavar e picar a cebola, o alho e a salsa e o tomate. Estufar os ingredientes referidos com azeite. Adicionar a carne picada e o sal. Cozinhar em lume brando até ao fim da cozedura.</t>
  </si>
  <si>
    <t>Vitela estufada</t>
  </si>
  <si>
    <t>De véspera descongelar a carne. No dia picar a cebola, o alho e o tomate e levar ao lume com a carne previamente temperada com sal e orégãos. Ir acrescentando água se necessário deixar estufar até a carne atingir a temperatura e consistência de confecionado.</t>
  </si>
  <si>
    <t>Carne de porco à Portuguesa</t>
  </si>
  <si>
    <t>Temperar a carne, após descongelação, com alho, louro e sal. Aquecer o azeite. Quando estiver quente adicionar a carne escorrida e deixar cozinhar um pouco. Fritar as batatas cortadas às cubos. Depois juntar as batatas à carne, temperar com coentros e deixar apurar um pouco. No final sirvir com rodelas de limão.</t>
  </si>
  <si>
    <t>Limão</t>
  </si>
  <si>
    <t>Hambúrguer (2 unid. 80g)</t>
  </si>
  <si>
    <t>Feijoada à Portuguesa</t>
  </si>
  <si>
    <t>Demolhar de véspera o feijão e preparar e temperar a carne de vaca aos cubos, previamente descongelada. No dia, cozer o feijão em água e sal separado das carnes. Cozer a vapor (caso as condições o permitam) a couve lombarda.Fazer um estufado com o azeite, a cebola, o alho e o tomate picados previamente. Adicionar a carne de vaca e porco cortados aos cubos e a cenoura em pedaços pequenos e parte da água de cozer o feijão. Deixar cozer, mexendo de vez em quando. Acrescentar o chouriço cortado às rodelas e deixar cozer. Após a carne estar cozida adicionar a couve escorrida e o feijão cozido.</t>
  </si>
  <si>
    <t>Arroz de aves</t>
  </si>
  <si>
    <t>Lavar o frango e o peru, previamente descongelados, e cozer em água temperada com sal, alho, sumo de limão, louro e ervas aromáticas. Após cozedura, desfiar as carnes. Num outro tacho estufar o azeite, a cebola, o alho e o bacon até apurar. Adicionar a água de cozedura das aves no estufado e confecionar o arroz. Após cozedura, colocar o arroz e a carne desfiada em camadas alternadamente e levar ao forno.</t>
  </si>
  <si>
    <t>Rancho à regional (carne de vaca,porco, frango, chouriço, grão-de-bico, couve lombarda, cenoura, macarronete)</t>
  </si>
  <si>
    <t>De véspera demolhar o grão-de-bico. Lavar e cortar as carnes, previamente descongeladas e temperar com sumo de limão, louro e sal. No dia, preparar a cenoura aos cubos e a couve lombarda em gomos. Cozer o grão-de-bico em água e sal. Estufar as carnes, com a cenoura, a couve lombarda, azeite, sal, cebola picada, alho, louro e tomate. Num tacho à parte cozer a massa. Após cozedura do estufado acrescentar ao preparado o grão-de-bico, a água onde cozeu o grão-de-bico, a massa e o chouriço e deixar apurar.</t>
  </si>
  <si>
    <t>Bifes de frango panados</t>
  </si>
  <si>
    <t>Bife de frango</t>
  </si>
  <si>
    <t>Temperar os bifes com sal, sumo de limão e alho. Passar por farinha de milho e fritar.</t>
  </si>
  <si>
    <t>Carne de vaca estufada com feijão verde</t>
  </si>
  <si>
    <t>De véspera descongelar a carne. No dia picar a cebola, o alho e o tomate e levar ao lume com a carne previamente temperada com sal e orégãos, o feijão verde, previamente lavado, preparado e arranjado. Ir acrescentando água se necessário deixar estufar até a carne atingir a temperatura e consistência de confecionado.</t>
  </si>
  <si>
    <t>Feijão verde</t>
  </si>
  <si>
    <t>Vitela estufada com ervilhas e cenoura</t>
  </si>
  <si>
    <t>De véspera descongelar a carne. No dia picar a cebola, o alho e o tomate e levar ao lume com a carne previamente temperada com sal e orégãos, as ervilhas e a cenoura, previamente lavada, preparada e cortada em cubos. Ir acrescentando água se necessário deixar estufar até a carne atingir a temperatura e consistência de confecionado.</t>
  </si>
  <si>
    <t>F.T.S.36</t>
  </si>
  <si>
    <t>Creme de nabo e cenoura</t>
  </si>
  <si>
    <t>Lavar, descascar e cortar as batatas e os legumes e cozer em água. Depois de cozido, triturar todo o preparado. Retificar a temperatura e no final da cozedura, juntar o azeite.</t>
  </si>
  <si>
    <t>F.T.S.37</t>
  </si>
  <si>
    <t>Sopa de nabiças</t>
  </si>
  <si>
    <t>Lavar, descascar e cortar os ingredientes e levar a cozer a batata, a cebola, o alho e a cenoura. Após cozedura, triturar o preparado e adicionar as nabiças cortadas em juliana e deixar cozer. Antes do final da cozedura retificar o tempero e no final adicionar o azeite.</t>
  </si>
  <si>
    <t>F.T.S.38</t>
  </si>
  <si>
    <t>Couve-flôr</t>
  </si>
  <si>
    <t>Aipo</t>
  </si>
  <si>
    <t>F.T.S.39</t>
  </si>
  <si>
    <t>Sopa de grão-de-bico com cubinhos de cenoura e nabo</t>
  </si>
  <si>
    <t>De véspera demolhar o grão. No dia, descascar, lavar e cortar em pedaços a batata, a cebola e o alho. Levar os ingredientes a cozer. Após cozedura, triturar os legumes e metade do grão-de-bico anteriormente cozido. Adicionar a cenoura e o nabo cortados em cubinhos e deixar cozer. Antes do final adicionar o restante grão-de-bico, retificar o tempero e no final adicionar o azeite.</t>
  </si>
  <si>
    <t>F.T.S.40</t>
  </si>
  <si>
    <t>Sopa de grelos</t>
  </si>
  <si>
    <t>Lavar, descascar e cortar os ingredientes e levar a cozer a batata, a cebola, o alho, a cenoura e a abóbora. Após cozedura, triturar o preparado, adicionar os grêlos previamente arranjados e deixar cozer. Antes do final da cozedura retificar o tempero e no final adicionar o azeite.</t>
  </si>
  <si>
    <t>Grêlos</t>
  </si>
  <si>
    <t>F.T.S.41</t>
  </si>
  <si>
    <t>De véspera, demolhar feijão. No dia, lavar, descascar e cortar os ingredientes e levar a cozer a batata, a cebola, os brócolos, o alho e a cenoura. À parte cozer o feijão. Após cozedura, triturar os legumes e metade do feijão anteriormente cozido. Antes do final, adicionar o restante feijão, retificar o tempero e no final adicionar o azeite.</t>
  </si>
  <si>
    <t>F.T.S.42</t>
  </si>
  <si>
    <t>Sopa de espinafres</t>
  </si>
  <si>
    <t>F.T.S.43</t>
  </si>
  <si>
    <t>Sopa de cenoura com couve ripada</t>
  </si>
  <si>
    <t xml:space="preserve">Descascar, lavar e cortar em pedaços a batata, a cenoura, a cebola, o nabo e o alho. Colocar os ingredientes numa panela com água e deixar cozer. Após cozedura, triturar o preparado e adicionar a couve ripada. Antes do final da cozedura retificar o tempero </t>
  </si>
  <si>
    <t>Couve</t>
  </si>
  <si>
    <t>Rissóis de atum</t>
  </si>
  <si>
    <t>Granadeiro no forno</t>
  </si>
  <si>
    <t>0.1</t>
  </si>
  <si>
    <t>0,9+1</t>
  </si>
</sst>
</file>

<file path=xl/styles.xml><?xml version="1.0" encoding="utf-8"?>
<styleSheet xmlns="http://schemas.openxmlformats.org/spreadsheetml/2006/main">
  <numFmts count="1">
    <numFmt numFmtId="164" formatCode="0.0"/>
  </numFmts>
  <fonts count="52">
    <font>
      <sz val="10"/>
      <name val="Arial"/>
    </font>
    <font>
      <b/>
      <sz val="12"/>
      <color indexed="50"/>
      <name val="Arial"/>
      <family val="2"/>
    </font>
    <font>
      <sz val="13"/>
      <name val="Arial"/>
      <family val="2"/>
    </font>
    <font>
      <b/>
      <sz val="13"/>
      <color indexed="9"/>
      <name val="Arial"/>
      <family val="2"/>
    </font>
    <font>
      <b/>
      <sz val="10"/>
      <color indexed="56"/>
      <name val="Arial"/>
      <family val="2"/>
    </font>
    <font>
      <sz val="10"/>
      <name val="Arial"/>
      <family val="2"/>
    </font>
    <font>
      <b/>
      <sz val="11"/>
      <name val="Century Gothic"/>
      <family val="2"/>
    </font>
    <font>
      <sz val="28"/>
      <color indexed="62"/>
      <name val="Bernard MT Condensed"/>
      <family val="1"/>
    </font>
    <font>
      <b/>
      <sz val="14"/>
      <color indexed="6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28"/>
      <color indexed="9"/>
      <name val="Bernard MT Condensed"/>
      <family val="1"/>
    </font>
    <font>
      <b/>
      <sz val="13"/>
      <name val="Trebuchet MS"/>
      <family val="2"/>
    </font>
    <font>
      <sz val="13"/>
      <color indexed="9"/>
      <name val="Trebuchet MS"/>
      <family val="2"/>
    </font>
    <font>
      <sz val="13"/>
      <name val="Trebuchet MS"/>
      <family val="2"/>
    </font>
    <font>
      <sz val="28"/>
      <color indexed="62"/>
      <name val="Trebuchet MS"/>
      <family val="2"/>
    </font>
    <font>
      <b/>
      <sz val="13"/>
      <color indexed="9"/>
      <name val="Trebuchet MS"/>
      <family val="2"/>
    </font>
    <font>
      <sz val="13"/>
      <color indexed="9"/>
      <name val="Trebuchet MS"/>
      <family val="2"/>
    </font>
    <font>
      <sz val="28"/>
      <color indexed="9"/>
      <name val="Trebuchet MS"/>
      <family val="2"/>
    </font>
    <font>
      <b/>
      <sz val="12"/>
      <color indexed="50"/>
      <name val="Trebuchet MS"/>
      <family val="2"/>
    </font>
    <font>
      <b/>
      <sz val="20"/>
      <color indexed="9"/>
      <name val="Trebuchet MS"/>
      <family val="2"/>
    </font>
    <font>
      <b/>
      <sz val="13"/>
      <color indexed="56"/>
      <name val="Trebuchet MS"/>
      <family val="2"/>
    </font>
    <font>
      <b/>
      <sz val="13"/>
      <color indexed="9"/>
      <name val="Trebuchet MS"/>
      <family val="2"/>
    </font>
    <font>
      <sz val="10"/>
      <name val="Trebuchet MS"/>
      <family val="2"/>
    </font>
    <font>
      <b/>
      <sz val="7"/>
      <color indexed="62"/>
      <name val="Trebuchet MS"/>
      <family val="2"/>
    </font>
    <font>
      <sz val="7"/>
      <name val="Arial Narrow"/>
      <family val="2"/>
    </font>
    <font>
      <sz val="7"/>
      <color indexed="56"/>
      <name val="Trebuchet MS"/>
      <family val="2"/>
    </font>
    <font>
      <b/>
      <sz val="8"/>
      <name val="Trebuchet MS"/>
      <family val="2"/>
    </font>
    <font>
      <sz val="11"/>
      <name val="Arial Narrow"/>
      <family val="2"/>
    </font>
    <font>
      <sz val="13"/>
      <color indexed="10"/>
      <name val="Trebuchet MS"/>
      <family val="2"/>
    </font>
    <font>
      <b/>
      <sz val="13"/>
      <color indexed="10"/>
      <name val="Trebuchet MS"/>
      <family val="2"/>
    </font>
    <font>
      <sz val="13"/>
      <color indexed="10"/>
      <name val="Arial"/>
      <family val="2"/>
    </font>
    <font>
      <b/>
      <sz val="10"/>
      <name val="Trebuchet MS"/>
      <family val="2"/>
    </font>
    <font>
      <u/>
      <sz val="10"/>
      <color indexed="56"/>
      <name val="Arial"/>
      <family val="2"/>
    </font>
    <font>
      <b/>
      <sz val="12"/>
      <color indexed="18"/>
      <name val="Trebuchet MS"/>
      <family val="2"/>
    </font>
    <font>
      <sz val="13"/>
      <color indexed="56"/>
      <name val="Trebuchet MS"/>
      <family val="2"/>
    </font>
    <font>
      <b/>
      <sz val="13"/>
      <color indexed="56"/>
      <name val="Trebuchet MS"/>
      <family val="2"/>
    </font>
    <font>
      <sz val="28"/>
      <color indexed="56"/>
      <name val="Trebuchet MS"/>
      <family val="2"/>
    </font>
    <font>
      <sz val="18"/>
      <color indexed="56"/>
      <name val="Trebuchet MS"/>
      <family val="2"/>
    </font>
    <font>
      <b/>
      <sz val="12"/>
      <color indexed="56"/>
      <name val="Trebuchet MS"/>
      <family val="2"/>
    </font>
    <font>
      <b/>
      <sz val="14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3"/>
      <color indexed="56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.5"/>
      <color rgb="FF00007F"/>
      <name val="Times New Roman"/>
      <family val="1"/>
    </font>
    <font>
      <sz val="8.5"/>
      <color rgb="FF00007F"/>
      <name val="Times New Roman"/>
      <family val="1"/>
    </font>
    <font>
      <sz val="6"/>
      <color rgb="FF00007F"/>
      <name val="Comic Sans MS"/>
      <family val="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hair">
        <color indexed="30"/>
      </left>
      <right style="hair">
        <color indexed="30"/>
      </right>
      <top style="thick">
        <color indexed="30"/>
      </top>
      <bottom style="medium">
        <color indexed="3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 style="thick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30"/>
      </left>
      <right style="hair">
        <color indexed="30"/>
      </right>
      <top style="thick">
        <color indexed="30"/>
      </top>
      <bottom/>
      <diagonal/>
    </border>
    <border>
      <left style="hair">
        <color indexed="30"/>
      </left>
      <right style="hair">
        <color indexed="30"/>
      </right>
      <top style="thick">
        <color indexed="30"/>
      </top>
      <bottom style="thick">
        <color indexed="30"/>
      </bottom>
      <diagonal/>
    </border>
    <border>
      <left style="hair">
        <color indexed="30"/>
      </left>
      <right style="hair">
        <color indexed="30"/>
      </right>
      <top/>
      <bottom/>
      <diagonal/>
    </border>
    <border>
      <left style="hair">
        <color indexed="30"/>
      </left>
      <right style="hair">
        <color indexed="30"/>
      </right>
      <top/>
      <bottom style="thick">
        <color indexed="30"/>
      </bottom>
      <diagonal/>
    </border>
    <border>
      <left/>
      <right style="thick">
        <color indexed="9"/>
      </right>
      <top style="thin">
        <color indexed="9"/>
      </top>
      <bottom/>
      <diagonal/>
    </border>
    <border>
      <left/>
      <right style="thick">
        <color indexed="9"/>
      </right>
      <top/>
      <bottom style="thin">
        <color indexed="9"/>
      </bottom>
      <diagonal/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ck">
        <color indexed="9"/>
      </right>
      <top style="thin">
        <color indexed="9"/>
      </top>
      <bottom/>
      <diagonal/>
    </border>
    <border>
      <left style="thick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ck">
        <color indexed="9"/>
      </left>
      <right style="thick">
        <color indexed="9"/>
      </right>
      <top/>
      <bottom style="thin">
        <color indexed="9"/>
      </bottom>
      <diagonal/>
    </border>
    <border>
      <left style="thick">
        <color indexed="9"/>
      </left>
      <right/>
      <top/>
      <bottom/>
      <diagonal/>
    </border>
    <border>
      <left/>
      <right/>
      <top style="thick">
        <color theme="3" tint="0.39994506668294322"/>
      </top>
      <bottom/>
      <diagonal/>
    </border>
    <border>
      <left style="medium">
        <color indexed="64"/>
      </left>
      <right/>
      <top style="thick">
        <color theme="3" tint="0.39991454817346722"/>
      </top>
      <bottom/>
      <diagonal/>
    </border>
    <border>
      <left/>
      <right/>
      <top style="thick">
        <color rgb="FF0070C0"/>
      </top>
      <bottom/>
      <diagonal/>
    </border>
    <border>
      <left/>
      <right/>
      <top style="thick">
        <color theme="3" tint="0.39991454817346722"/>
      </top>
      <bottom/>
      <diagonal/>
    </border>
    <border>
      <left/>
      <right/>
      <top/>
      <bottom style="thick">
        <color theme="3" tint="0.39994506668294322"/>
      </bottom>
      <diagonal/>
    </border>
  </borders>
  <cellStyleXfs count="3">
    <xf numFmtId="0" fontId="0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189">
    <xf numFmtId="0" fontId="0" fillId="0" borderId="0" xfId="0"/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6" fontId="8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</xf>
    <xf numFmtId="16" fontId="8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13" fillId="2" borderId="0" xfId="1" applyFont="1" applyFill="1" applyBorder="1" applyAlignment="1" applyProtection="1">
      <alignment horizontal="center" vertical="center" shrinkToFit="1"/>
      <protection locked="0"/>
    </xf>
    <xf numFmtId="0" fontId="48" fillId="2" borderId="0" xfId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8" fillId="0" borderId="0" xfId="0" applyFont="1" applyFill="1" applyAlignment="1">
      <alignment horizontal="center" vertical="center"/>
    </xf>
    <xf numFmtId="0" fontId="19" fillId="3" borderId="0" xfId="0" applyFont="1" applyFill="1" applyAlignment="1" applyProtection="1">
      <alignment vertical="center"/>
    </xf>
    <xf numFmtId="0" fontId="20" fillId="3" borderId="0" xfId="0" applyFont="1" applyFill="1" applyAlignment="1" applyProtection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Alignment="1" applyProtection="1">
      <alignment horizontal="right" vertical="center"/>
    </xf>
    <xf numFmtId="0" fontId="23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  <protection locked="0"/>
    </xf>
    <xf numFmtId="0" fontId="25" fillId="4" borderId="2" xfId="0" applyFont="1" applyFill="1" applyBorder="1" applyAlignment="1" applyProtection="1">
      <alignment vertical="center" shrinkToFit="1"/>
      <protection locked="0"/>
    </xf>
    <xf numFmtId="0" fontId="25" fillId="0" borderId="0" xfId="0" applyFont="1" applyFill="1" applyBorder="1" applyAlignment="1" applyProtection="1">
      <alignment vertical="center" shrinkToFit="1"/>
    </xf>
    <xf numFmtId="0" fontId="25" fillId="4" borderId="3" xfId="0" applyFont="1" applyFill="1" applyBorder="1" applyAlignment="1" applyProtection="1">
      <alignment vertical="center" shrinkToFit="1"/>
      <protection locked="0"/>
    </xf>
    <xf numFmtId="0" fontId="24" fillId="0" borderId="3" xfId="0" applyFont="1" applyFill="1" applyBorder="1" applyAlignment="1" applyProtection="1">
      <alignment horizontal="center" vertical="center" textRotation="90"/>
    </xf>
    <xf numFmtId="0" fontId="25" fillId="0" borderId="3" xfId="0" applyFont="1" applyFill="1" applyBorder="1" applyAlignment="1" applyProtection="1">
      <alignment vertical="center" shrinkToFit="1"/>
      <protection locked="0"/>
    </xf>
    <xf numFmtId="0" fontId="25" fillId="0" borderId="4" xfId="0" applyFont="1" applyFill="1" applyBorder="1" applyAlignment="1" applyProtection="1">
      <alignment vertical="center" shrinkToFit="1"/>
      <protection locked="0"/>
    </xf>
    <xf numFmtId="0" fontId="24" fillId="0" borderId="5" xfId="0" applyFont="1" applyFill="1" applyBorder="1" applyAlignment="1" applyProtection="1">
      <alignment horizontal="center" vertical="center" textRotation="90"/>
    </xf>
    <xf numFmtId="0" fontId="25" fillId="0" borderId="5" xfId="0" applyFont="1" applyFill="1" applyBorder="1" applyAlignment="1" applyProtection="1">
      <alignment vertical="center" shrinkToFit="1"/>
      <protection locked="0"/>
    </xf>
    <xf numFmtId="0" fontId="25" fillId="4" borderId="2" xfId="0" applyFont="1" applyFill="1" applyBorder="1" applyAlignment="1" applyProtection="1">
      <alignment vertical="center" shrinkToFit="1"/>
    </xf>
    <xf numFmtId="0" fontId="25" fillId="4" borderId="3" xfId="0" applyFont="1" applyFill="1" applyBorder="1" applyAlignment="1" applyProtection="1">
      <alignment vertical="center" shrinkToFit="1"/>
    </xf>
    <xf numFmtId="0" fontId="22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vertical="center"/>
      <protection locked="0"/>
    </xf>
    <xf numFmtId="16" fontId="27" fillId="0" borderId="0" xfId="0" applyNumberFormat="1" applyFont="1" applyAlignment="1" applyProtection="1">
      <alignment horizontal="center" vertical="center" wrapText="1"/>
      <protection locked="0"/>
    </xf>
    <xf numFmtId="0" fontId="29" fillId="2" borderId="6" xfId="2" applyFont="1" applyFill="1" applyBorder="1" applyAlignment="1" applyProtection="1">
      <alignment horizontal="center" vertical="center" wrapText="1" shrinkToFit="1"/>
      <protection locked="0"/>
    </xf>
    <xf numFmtId="0" fontId="31" fillId="0" borderId="0" xfId="0" applyFont="1" applyAlignment="1">
      <alignment wrapText="1"/>
    </xf>
    <xf numFmtId="0" fontId="48" fillId="2" borderId="0" xfId="1" quotePrefix="1" applyFill="1" applyBorder="1" applyAlignment="1" applyProtection="1">
      <alignment horizontal="center" vertical="center" shrinkToFit="1"/>
      <protection locked="0"/>
    </xf>
    <xf numFmtId="0" fontId="25" fillId="4" borderId="3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Alignment="1">
      <alignment horizontal="center" wrapText="1"/>
    </xf>
    <xf numFmtId="0" fontId="32" fillId="3" borderId="0" xfId="0" applyFont="1" applyFill="1" applyAlignment="1" applyProtection="1">
      <alignment vertical="center"/>
    </xf>
    <xf numFmtId="0" fontId="33" fillId="3" borderId="0" xfId="0" applyFont="1" applyFill="1" applyBorder="1" applyAlignment="1" applyProtection="1">
      <alignment vertical="center" shrinkToFit="1"/>
    </xf>
    <xf numFmtId="0" fontId="2" fillId="3" borderId="0" xfId="0" applyFont="1" applyFill="1" applyAlignment="1" applyProtection="1">
      <alignment vertical="center"/>
    </xf>
    <xf numFmtId="0" fontId="34" fillId="3" borderId="0" xfId="0" applyFont="1" applyFill="1" applyAlignment="1" applyProtection="1">
      <alignment vertical="center"/>
    </xf>
    <xf numFmtId="0" fontId="0" fillId="0" borderId="0" xfId="0" applyBorder="1"/>
    <xf numFmtId="0" fontId="6" fillId="3" borderId="8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top"/>
    </xf>
    <xf numFmtId="0" fontId="6" fillId="0" borderId="7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9" fillId="2" borderId="11" xfId="2" applyFont="1" applyFill="1" applyBorder="1" applyAlignment="1" applyProtection="1">
      <alignment horizontal="center" vertical="center" wrapText="1" shrinkToFit="1"/>
      <protection locked="0"/>
    </xf>
    <xf numFmtId="0" fontId="29" fillId="2" borderId="12" xfId="2" applyFont="1" applyFill="1" applyBorder="1" applyAlignment="1" applyProtection="1">
      <alignment horizontal="center" vertical="center" wrapText="1" shrinkToFit="1"/>
      <protection locked="0"/>
    </xf>
    <xf numFmtId="0" fontId="36" fillId="2" borderId="11" xfId="2" applyFont="1" applyFill="1" applyBorder="1" applyAlignment="1" applyProtection="1">
      <alignment horizontal="center" vertical="center" wrapText="1" shrinkToFit="1"/>
      <protection locked="0"/>
    </xf>
    <xf numFmtId="164" fontId="29" fillId="2" borderId="6" xfId="2" applyNumberFormat="1" applyFont="1" applyFill="1" applyBorder="1" applyAlignment="1" applyProtection="1">
      <alignment horizontal="center" vertical="center" wrapText="1" shrinkToFit="1"/>
      <protection locked="0"/>
    </xf>
    <xf numFmtId="0" fontId="37" fillId="0" borderId="0" xfId="0" applyFont="1" applyAlignment="1" applyProtection="1">
      <alignment horizontal="right" vertical="center"/>
    </xf>
    <xf numFmtId="0" fontId="12" fillId="2" borderId="0" xfId="1" applyFont="1" applyFill="1" applyBorder="1" applyAlignment="1" applyProtection="1">
      <alignment horizontal="center" vertical="center" shrinkToFit="1"/>
      <protection locked="0"/>
    </xf>
    <xf numFmtId="0" fontId="40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2" fillId="0" borderId="0" xfId="0" applyFont="1" applyAlignment="1" applyProtection="1">
      <alignment vertical="center"/>
    </xf>
    <xf numFmtId="16" fontId="43" fillId="0" borderId="0" xfId="0" applyNumberFormat="1" applyFont="1" applyAlignment="1" applyProtection="1">
      <alignment horizontal="left" vertical="center"/>
      <protection locked="0"/>
    </xf>
    <xf numFmtId="0" fontId="38" fillId="2" borderId="13" xfId="2" applyFont="1" applyFill="1" applyBorder="1" applyAlignment="1" applyProtection="1">
      <alignment vertical="center" wrapText="1" shrinkToFit="1"/>
      <protection locked="0"/>
    </xf>
    <xf numFmtId="0" fontId="38" fillId="2" borderId="14" xfId="0" applyFont="1" applyFill="1" applyBorder="1" applyAlignment="1" applyProtection="1">
      <alignment vertical="center" shrinkToFit="1"/>
      <protection locked="0"/>
    </xf>
    <xf numFmtId="0" fontId="44" fillId="0" borderId="3" xfId="0" applyFont="1" applyFill="1" applyBorder="1" applyAlignment="1" applyProtection="1">
      <alignment vertical="center" shrinkToFit="1"/>
      <protection locked="0"/>
    </xf>
    <xf numFmtId="49" fontId="42" fillId="0" borderId="0" xfId="0" applyNumberFormat="1" applyFont="1" applyAlignment="1" applyProtection="1">
      <alignment horizontal="center" vertical="center"/>
    </xf>
    <xf numFmtId="0" fontId="38" fillId="0" borderId="0" xfId="0" applyFont="1" applyAlignment="1" applyProtection="1">
      <alignment vertical="center"/>
      <protection locked="0"/>
    </xf>
    <xf numFmtId="0" fontId="46" fillId="0" borderId="0" xfId="0" applyFont="1" applyAlignment="1" applyProtection="1">
      <alignment vertical="center"/>
    </xf>
    <xf numFmtId="0" fontId="42" fillId="0" borderId="0" xfId="0" applyFont="1" applyAlignment="1" applyProtection="1">
      <alignment horizontal="left" vertical="center"/>
    </xf>
    <xf numFmtId="0" fontId="38" fillId="6" borderId="13" xfId="2" applyFont="1" applyFill="1" applyBorder="1" applyAlignment="1" applyProtection="1">
      <alignment vertical="center" wrapText="1" shrinkToFit="1"/>
      <protection locked="0"/>
    </xf>
    <xf numFmtId="0" fontId="44" fillId="6" borderId="13" xfId="2" applyFont="1" applyFill="1" applyBorder="1" applyAlignment="1" applyProtection="1">
      <alignment horizontal="center" vertical="center" wrapText="1" shrinkToFit="1"/>
      <protection locked="0"/>
    </xf>
    <xf numFmtId="0" fontId="38" fillId="6" borderId="14" xfId="0" applyFont="1" applyFill="1" applyBorder="1" applyAlignment="1" applyProtection="1">
      <alignment vertical="center" shrinkToFit="1"/>
      <protection locked="0"/>
    </xf>
    <xf numFmtId="0" fontId="48" fillId="6" borderId="0" xfId="1" applyFill="1" applyBorder="1" applyAlignment="1" applyProtection="1">
      <alignment horizontal="center" vertical="center" shrinkToFit="1"/>
      <protection locked="0"/>
    </xf>
    <xf numFmtId="0" fontId="35" fillId="7" borderId="0" xfId="0" applyFont="1" applyFill="1" applyAlignment="1">
      <alignment horizontal="center" vertical="top" wrapText="1"/>
    </xf>
    <xf numFmtId="0" fontId="26" fillId="7" borderId="19" xfId="0" applyFont="1" applyFill="1" applyBorder="1" applyAlignment="1">
      <alignment horizontal="center" vertical="top" wrapText="1"/>
    </xf>
    <xf numFmtId="0" fontId="35" fillId="7" borderId="0" xfId="0" applyFont="1" applyFill="1" applyAlignment="1">
      <alignment vertical="top" wrapText="1"/>
    </xf>
    <xf numFmtId="0" fontId="26" fillId="7" borderId="0" xfId="0" applyFont="1" applyFill="1" applyBorder="1" applyAlignment="1">
      <alignment horizontal="center" vertical="top" wrapText="1"/>
    </xf>
    <xf numFmtId="0" fontId="35" fillId="8" borderId="20" xfId="0" applyFont="1" applyFill="1" applyBorder="1" applyAlignment="1">
      <alignment horizontal="center" vertical="top" wrapText="1"/>
    </xf>
    <xf numFmtId="0" fontId="35" fillId="8" borderId="21" xfId="0" applyFont="1" applyFill="1" applyBorder="1" applyAlignment="1">
      <alignment horizontal="center" vertical="top" wrapText="1"/>
    </xf>
    <xf numFmtId="0" fontId="26" fillId="8" borderId="21" xfId="0" applyFont="1" applyFill="1" applyBorder="1" applyAlignment="1">
      <alignment horizontal="center" vertical="top" wrapText="1"/>
    </xf>
    <xf numFmtId="0" fontId="26" fillId="8" borderId="0" xfId="0" applyFont="1" applyFill="1" applyBorder="1" applyAlignment="1">
      <alignment horizontal="center" vertical="top" wrapText="1"/>
    </xf>
    <xf numFmtId="0" fontId="35" fillId="7" borderId="21" xfId="0" applyFont="1" applyFill="1" applyBorder="1" applyAlignment="1">
      <alignment horizontal="center" vertical="top" wrapText="1"/>
    </xf>
    <xf numFmtId="0" fontId="26" fillId="7" borderId="21" xfId="0" applyFont="1" applyFill="1" applyBorder="1" applyAlignment="1">
      <alignment horizontal="center" vertical="top" wrapText="1"/>
    </xf>
    <xf numFmtId="0" fontId="26" fillId="7" borderId="21" xfId="0" applyFont="1" applyFill="1" applyBorder="1" applyAlignment="1">
      <alignment horizontal="justify" vertical="top" wrapText="1"/>
    </xf>
    <xf numFmtId="0" fontId="0" fillId="0" borderId="0" xfId="0" applyAlignment="1">
      <alignment vertical="center"/>
    </xf>
    <xf numFmtId="0" fontId="26" fillId="0" borderId="21" xfId="0" applyFont="1" applyBorder="1" applyAlignment="1">
      <alignment horizontal="center" vertical="top"/>
    </xf>
    <xf numFmtId="0" fontId="26" fillId="0" borderId="21" xfId="0" applyFont="1" applyBorder="1" applyAlignment="1">
      <alignment vertical="top" wrapText="1"/>
    </xf>
    <xf numFmtId="0" fontId="49" fillId="0" borderId="0" xfId="0" applyFont="1"/>
    <xf numFmtId="0" fontId="26" fillId="7" borderId="21" xfId="0" applyFont="1" applyFill="1" applyBorder="1" applyAlignment="1">
      <alignment horizontal="left" vertical="top" wrapText="1"/>
    </xf>
    <xf numFmtId="0" fontId="26" fillId="7" borderId="0" xfId="0" applyFont="1" applyFill="1" applyBorder="1" applyAlignment="1">
      <alignment horizontal="left" vertical="top" wrapText="1"/>
    </xf>
    <xf numFmtId="0" fontId="50" fillId="0" borderId="0" xfId="0" applyFont="1"/>
    <xf numFmtId="0" fontId="26" fillId="7" borderId="19" xfId="0" applyFont="1" applyFill="1" applyBorder="1" applyAlignment="1">
      <alignment horizontal="justify" vertical="top" wrapText="1"/>
    </xf>
    <xf numFmtId="0" fontId="26" fillId="7" borderId="0" xfId="0" applyFont="1" applyFill="1" applyBorder="1" applyAlignment="1">
      <alignment horizontal="justify" vertical="top" wrapText="1"/>
    </xf>
    <xf numFmtId="0" fontId="26" fillId="8" borderId="0" xfId="0" applyFont="1" applyFill="1" applyBorder="1" applyAlignment="1">
      <alignment horizontal="left" vertical="top" wrapText="1"/>
    </xf>
    <xf numFmtId="0" fontId="51" fillId="0" borderId="0" xfId="0" applyFont="1" applyAlignment="1">
      <alignment vertical="top" wrapText="1"/>
    </xf>
    <xf numFmtId="0" fontId="51" fillId="0" borderId="0" xfId="0" applyFont="1" applyAlignment="1">
      <alignment horizontal="right" vertical="top" wrapText="1"/>
    </xf>
    <xf numFmtId="0" fontId="6" fillId="8" borderId="7" xfId="0" applyFont="1" applyFill="1" applyBorder="1" applyAlignment="1">
      <alignment horizontal="center" vertical="center" wrapText="1"/>
    </xf>
    <xf numFmtId="0" fontId="35" fillId="7" borderId="19" xfId="0" applyFont="1" applyFill="1" applyBorder="1" applyAlignment="1">
      <alignment horizontal="center" vertical="top" wrapText="1"/>
    </xf>
    <xf numFmtId="0" fontId="0" fillId="7" borderId="0" xfId="0" applyFill="1" applyBorder="1" applyAlignment="1">
      <alignment vertical="top"/>
    </xf>
    <xf numFmtId="0" fontId="0" fillId="7" borderId="0" xfId="0" applyFill="1" applyBorder="1" applyAlignment="1">
      <alignment vertical="top" wrapText="1"/>
    </xf>
    <xf numFmtId="0" fontId="35" fillId="8" borderId="22" xfId="0" applyFont="1" applyFill="1" applyBorder="1" applyAlignment="1">
      <alignment horizontal="center" vertical="top" wrapText="1"/>
    </xf>
    <xf numFmtId="0" fontId="26" fillId="8" borderId="22" xfId="0" applyFont="1" applyFill="1" applyBorder="1" applyAlignment="1">
      <alignment horizontal="center" vertical="top" wrapText="1"/>
    </xf>
    <xf numFmtId="0" fontId="0" fillId="8" borderId="0" xfId="0" applyFill="1" applyBorder="1" applyAlignment="1">
      <alignment vertical="top"/>
    </xf>
    <xf numFmtId="0" fontId="0" fillId="8" borderId="0" xfId="0" applyFill="1" applyBorder="1" applyAlignment="1">
      <alignment vertical="top" wrapText="1"/>
    </xf>
    <xf numFmtId="0" fontId="0" fillId="8" borderId="23" xfId="0" applyFill="1" applyBorder="1" applyAlignment="1">
      <alignment vertical="top"/>
    </xf>
    <xf numFmtId="0" fontId="0" fillId="8" borderId="23" xfId="0" applyFill="1" applyBorder="1" applyAlignment="1">
      <alignment vertical="top" wrapText="1"/>
    </xf>
    <xf numFmtId="0" fontId="26" fillId="8" borderId="23" xfId="0" applyFont="1" applyFill="1" applyBorder="1" applyAlignment="1">
      <alignment horizontal="center" vertical="top" wrapText="1"/>
    </xf>
    <xf numFmtId="0" fontId="35" fillId="8" borderId="19" xfId="0" applyFont="1" applyFill="1" applyBorder="1" applyAlignment="1">
      <alignment horizontal="center" vertical="top" wrapText="1"/>
    </xf>
    <xf numFmtId="0" fontId="26" fillId="8" borderId="19" xfId="0" applyFont="1" applyFill="1" applyBorder="1" applyAlignment="1">
      <alignment horizontal="center" vertical="top" wrapText="1"/>
    </xf>
    <xf numFmtId="0" fontId="35" fillId="8" borderId="0" xfId="0" applyFont="1" applyFill="1" applyBorder="1" applyAlignment="1">
      <alignment horizontal="center" vertical="top" wrapText="1"/>
    </xf>
    <xf numFmtId="0" fontId="35" fillId="7" borderId="0" xfId="0" applyFont="1" applyFill="1" applyBorder="1" applyAlignment="1">
      <alignment horizontal="center" vertical="top" wrapText="1"/>
    </xf>
    <xf numFmtId="0" fontId="26" fillId="8" borderId="19" xfId="0" applyFont="1" applyFill="1" applyBorder="1" applyAlignment="1">
      <alignment horizontal="justify" vertical="top" wrapText="1"/>
    </xf>
    <xf numFmtId="0" fontId="26" fillId="8" borderId="0" xfId="0" applyFont="1" applyFill="1" applyBorder="1" applyAlignment="1">
      <alignment horizontal="justify" vertical="top" wrapText="1"/>
    </xf>
    <xf numFmtId="0" fontId="0" fillId="8" borderId="0" xfId="0" applyFill="1" applyBorder="1"/>
    <xf numFmtId="0" fontId="35" fillId="7" borderId="22" xfId="0" applyFont="1" applyFill="1" applyBorder="1" applyAlignment="1">
      <alignment horizontal="center" vertical="top" wrapText="1"/>
    </xf>
    <xf numFmtId="0" fontId="26" fillId="7" borderId="22" xfId="0" applyFont="1" applyFill="1" applyBorder="1" applyAlignment="1">
      <alignment horizontal="center" vertical="top" wrapText="1"/>
    </xf>
    <xf numFmtId="0" fontId="26" fillId="7" borderId="22" xfId="0" applyFont="1" applyFill="1" applyBorder="1" applyAlignment="1">
      <alignment horizontal="justify" vertical="top" wrapText="1"/>
    </xf>
    <xf numFmtId="0" fontId="0" fillId="7" borderId="23" xfId="0" applyFill="1" applyBorder="1" applyAlignment="1">
      <alignment vertical="top"/>
    </xf>
    <xf numFmtId="0" fontId="0" fillId="7" borderId="23" xfId="0" applyFill="1" applyBorder="1" applyAlignment="1">
      <alignment vertical="top" wrapText="1"/>
    </xf>
    <xf numFmtId="0" fontId="26" fillId="7" borderId="23" xfId="0" applyFont="1" applyFill="1" applyBorder="1" applyAlignment="1">
      <alignment horizontal="center" vertical="top" wrapText="1"/>
    </xf>
    <xf numFmtId="0" fontId="0" fillId="8" borderId="0" xfId="0" applyFill="1"/>
    <xf numFmtId="0" fontId="35" fillId="8" borderId="7" xfId="0" applyFont="1" applyFill="1" applyBorder="1" applyAlignment="1">
      <alignment horizontal="center" vertical="top" wrapText="1"/>
    </xf>
    <xf numFmtId="0" fontId="26" fillId="8" borderId="7" xfId="0" applyFont="1" applyFill="1" applyBorder="1" applyAlignment="1">
      <alignment horizontal="center" vertical="top" wrapText="1"/>
    </xf>
    <xf numFmtId="0" fontId="0" fillId="8" borderId="9" xfId="0" applyFill="1" applyBorder="1" applyAlignment="1">
      <alignment vertical="top"/>
    </xf>
    <xf numFmtId="0" fontId="0" fillId="8" borderId="9" xfId="0" applyFill="1" applyBorder="1" applyAlignment="1">
      <alignment vertical="top" wrapText="1"/>
    </xf>
    <xf numFmtId="0" fontId="26" fillId="8" borderId="9" xfId="0" applyFont="1" applyFill="1" applyBorder="1" applyAlignment="1">
      <alignment horizontal="center" vertical="top" wrapText="1"/>
    </xf>
    <xf numFmtId="0" fontId="0" fillId="8" borderId="10" xfId="0" applyFill="1" applyBorder="1" applyAlignment="1">
      <alignment vertical="top"/>
    </xf>
    <xf numFmtId="0" fontId="0" fillId="8" borderId="10" xfId="0" applyFill="1" applyBorder="1" applyAlignment="1">
      <alignment vertical="top" wrapText="1"/>
    </xf>
    <xf numFmtId="0" fontId="26" fillId="8" borderId="10" xfId="0" applyFont="1" applyFill="1" applyBorder="1" applyAlignment="1">
      <alignment horizontal="center" vertical="top" wrapText="1"/>
    </xf>
    <xf numFmtId="0" fontId="35" fillId="7" borderId="7" xfId="0" applyFont="1" applyFill="1" applyBorder="1" applyAlignment="1">
      <alignment horizontal="center" vertical="top" wrapText="1"/>
    </xf>
    <xf numFmtId="0" fontId="35" fillId="7" borderId="9" xfId="0" applyFont="1" applyFill="1" applyBorder="1" applyAlignment="1">
      <alignment horizontal="center" vertical="top" wrapText="1"/>
    </xf>
    <xf numFmtId="0" fontId="26" fillId="7" borderId="7" xfId="0" applyFont="1" applyFill="1" applyBorder="1" applyAlignment="1">
      <alignment horizontal="center" vertical="top" wrapText="1"/>
    </xf>
    <xf numFmtId="0" fontId="0" fillId="7" borderId="9" xfId="0" applyFill="1" applyBorder="1" applyAlignment="1">
      <alignment vertical="top"/>
    </xf>
    <xf numFmtId="0" fontId="0" fillId="7" borderId="0" xfId="0" applyFill="1"/>
    <xf numFmtId="0" fontId="26" fillId="7" borderId="9" xfId="0" applyFont="1" applyFill="1" applyBorder="1" applyAlignment="1">
      <alignment horizontal="center" vertical="top" wrapText="1"/>
    </xf>
    <xf numFmtId="0" fontId="0" fillId="7" borderId="9" xfId="0" applyFill="1" applyBorder="1" applyAlignment="1">
      <alignment vertical="top" wrapText="1"/>
    </xf>
    <xf numFmtId="0" fontId="0" fillId="7" borderId="10" xfId="0" applyFill="1" applyBorder="1" applyAlignment="1">
      <alignment vertical="top"/>
    </xf>
    <xf numFmtId="0" fontId="0" fillId="7" borderId="10" xfId="0" applyFill="1" applyBorder="1" applyAlignment="1">
      <alignment vertical="top" wrapText="1"/>
    </xf>
    <xf numFmtId="0" fontId="26" fillId="7" borderId="10" xfId="0" applyFont="1" applyFill="1" applyBorder="1" applyAlignment="1">
      <alignment horizontal="center" vertical="top" wrapText="1"/>
    </xf>
    <xf numFmtId="0" fontId="35" fillId="8" borderId="9" xfId="0" applyFont="1" applyFill="1" applyBorder="1" applyAlignment="1">
      <alignment horizontal="center" vertical="top" wrapText="1"/>
    </xf>
    <xf numFmtId="0" fontId="35" fillId="7" borderId="8" xfId="0" applyFont="1" applyFill="1" applyBorder="1" applyAlignment="1">
      <alignment horizontal="center" vertical="top" wrapText="1"/>
    </xf>
    <xf numFmtId="0" fontId="26" fillId="7" borderId="8" xfId="0" applyFont="1" applyFill="1" applyBorder="1" applyAlignment="1">
      <alignment horizontal="center" vertical="top" wrapText="1"/>
    </xf>
    <xf numFmtId="0" fontId="26" fillId="7" borderId="8" xfId="0" applyFont="1" applyFill="1" applyBorder="1" applyAlignment="1">
      <alignment horizontal="justify" vertical="top" wrapText="1"/>
    </xf>
    <xf numFmtId="0" fontId="35" fillId="7" borderId="10" xfId="0" applyFont="1" applyFill="1" applyBorder="1" applyAlignment="1">
      <alignment horizontal="center" vertical="top" wrapText="1"/>
    </xf>
    <xf numFmtId="0" fontId="35" fillId="8" borderId="10" xfId="0" applyFont="1" applyFill="1" applyBorder="1" applyAlignment="1">
      <alignment horizontal="center" vertical="top" wrapText="1"/>
    </xf>
    <xf numFmtId="0" fontId="0" fillId="7" borderId="9" xfId="0" applyFill="1" applyBorder="1"/>
    <xf numFmtId="0" fontId="26" fillId="7" borderId="9" xfId="0" applyFont="1" applyFill="1" applyBorder="1" applyAlignment="1">
      <alignment vertical="top" wrapText="1"/>
    </xf>
    <xf numFmtId="0" fontId="0" fillId="7" borderId="10" xfId="0" applyFill="1" applyBorder="1"/>
    <xf numFmtId="0" fontId="48" fillId="2" borderId="6" xfId="1" applyFill="1" applyBorder="1" applyAlignment="1" applyProtection="1">
      <alignment horizontal="center" vertical="center" wrapText="1" shrinkToFit="1"/>
      <protection locked="0"/>
    </xf>
    <xf numFmtId="0" fontId="29" fillId="2" borderId="14" xfId="2" applyFont="1" applyFill="1" applyBorder="1" applyAlignment="1" applyProtection="1">
      <alignment horizontal="center" vertical="center" wrapText="1" shrinkToFit="1"/>
      <protection locked="0"/>
    </xf>
    <xf numFmtId="0" fontId="29" fillId="2" borderId="17" xfId="2" applyFont="1" applyFill="1" applyBorder="1" applyAlignment="1" applyProtection="1">
      <alignment horizontal="center" vertical="center" wrapText="1" shrinkToFit="1"/>
      <protection locked="0"/>
    </xf>
    <xf numFmtId="0" fontId="29" fillId="2" borderId="15" xfId="0" applyFont="1" applyFill="1" applyBorder="1" applyAlignment="1" applyProtection="1">
      <alignment horizontal="center" vertical="center" shrinkToFit="1"/>
      <protection locked="0"/>
    </xf>
    <xf numFmtId="0" fontId="29" fillId="2" borderId="16" xfId="0" applyFont="1" applyFill="1" applyBorder="1" applyAlignment="1" applyProtection="1">
      <alignment horizontal="center" vertical="center" shrinkToFit="1"/>
      <protection locked="0"/>
    </xf>
    <xf numFmtId="0" fontId="29" fillId="2" borderId="11" xfId="0" applyFont="1" applyFill="1" applyBorder="1" applyAlignment="1" applyProtection="1">
      <alignment horizontal="center" vertical="center" shrinkToFit="1"/>
      <protection locked="0"/>
    </xf>
    <xf numFmtId="0" fontId="24" fillId="5" borderId="2" xfId="0" applyFont="1" applyFill="1" applyBorder="1" applyAlignment="1" applyProtection="1">
      <alignment horizontal="center" vertical="center" textRotation="90"/>
    </xf>
    <xf numFmtId="0" fontId="24" fillId="5" borderId="3" xfId="0" applyFont="1" applyFill="1" applyBorder="1" applyAlignment="1" applyProtection="1">
      <alignment horizontal="center" vertical="center" textRotation="90"/>
    </xf>
    <xf numFmtId="0" fontId="25" fillId="4" borderId="3" xfId="0" applyFont="1" applyFill="1" applyBorder="1" applyAlignment="1" applyProtection="1">
      <alignment horizontal="left" vertical="center" wrapText="1"/>
      <protection locked="0"/>
    </xf>
    <xf numFmtId="0" fontId="25" fillId="4" borderId="3" xfId="0" applyFont="1" applyFill="1" applyBorder="1" applyAlignment="1" applyProtection="1">
      <alignment horizontal="center" vertical="center" wrapText="1"/>
      <protection locked="0"/>
    </xf>
    <xf numFmtId="0" fontId="26" fillId="5" borderId="3" xfId="0" applyFont="1" applyFill="1" applyBorder="1" applyAlignment="1">
      <alignment horizontal="center" vertical="center" textRotation="90"/>
    </xf>
    <xf numFmtId="0" fontId="39" fillId="3" borderId="18" xfId="0" applyFont="1" applyFill="1" applyBorder="1" applyAlignment="1" applyProtection="1">
      <alignment horizontal="left" vertical="center" shrinkToFit="1"/>
      <protection locked="0"/>
    </xf>
    <xf numFmtId="0" fontId="39" fillId="3" borderId="0" xfId="0" applyFont="1" applyFill="1" applyBorder="1" applyAlignment="1" applyProtection="1">
      <alignment horizontal="left" vertical="center" shrinkToFit="1"/>
      <protection locked="0"/>
    </xf>
    <xf numFmtId="0" fontId="39" fillId="3" borderId="4" xfId="0" applyFont="1" applyFill="1" applyBorder="1" applyAlignment="1" applyProtection="1">
      <alignment horizontal="left" vertical="center" shrinkToFit="1"/>
      <protection locked="0"/>
    </xf>
    <xf numFmtId="0" fontId="30" fillId="0" borderId="0" xfId="0" applyFont="1" applyAlignment="1" applyProtection="1">
      <alignment horizontal="left" vertical="top" wrapText="1"/>
    </xf>
    <xf numFmtId="0" fontId="30" fillId="0" borderId="0" xfId="0" applyFont="1" applyAlignment="1" applyProtection="1">
      <alignment horizontal="left" vertical="top"/>
    </xf>
    <xf numFmtId="0" fontId="11" fillId="0" borderId="0" xfId="0" applyFont="1" applyAlignment="1">
      <alignment horizontal="center"/>
    </xf>
    <xf numFmtId="0" fontId="26" fillId="7" borderId="19" xfId="0" applyFont="1" applyFill="1" applyBorder="1" applyAlignment="1">
      <alignment horizontal="justify" vertical="top" wrapText="1"/>
    </xf>
    <xf numFmtId="0" fontId="26" fillId="7" borderId="0" xfId="0" applyFont="1" applyFill="1" applyBorder="1" applyAlignment="1">
      <alignment horizontal="justify" vertical="top" wrapText="1"/>
    </xf>
    <xf numFmtId="0" fontId="26" fillId="8" borderId="19" xfId="0" applyFont="1" applyFill="1" applyBorder="1" applyAlignment="1">
      <alignment horizontal="justify" vertical="top" wrapText="1"/>
    </xf>
    <xf numFmtId="0" fontId="26" fillId="8" borderId="0" xfId="0" applyFont="1" applyFill="1" applyBorder="1" applyAlignment="1">
      <alignment horizontal="justify" vertical="top" wrapText="1"/>
    </xf>
    <xf numFmtId="0" fontId="26" fillId="8" borderId="22" xfId="0" applyFont="1" applyFill="1" applyBorder="1" applyAlignment="1">
      <alignment horizontal="justify" vertical="top" wrapText="1"/>
    </xf>
    <xf numFmtId="0" fontId="26" fillId="8" borderId="23" xfId="0" applyFont="1" applyFill="1" applyBorder="1" applyAlignment="1">
      <alignment horizontal="justify" vertical="top" wrapText="1"/>
    </xf>
    <xf numFmtId="0" fontId="26" fillId="7" borderId="22" xfId="0" applyFont="1" applyFill="1" applyBorder="1" applyAlignment="1">
      <alignment horizontal="justify" vertical="top" wrapText="1"/>
    </xf>
    <xf numFmtId="0" fontId="26" fillId="8" borderId="22" xfId="0" applyFont="1" applyFill="1" applyBorder="1" applyAlignment="1">
      <alignment horizontal="center" vertical="top" wrapText="1"/>
    </xf>
    <xf numFmtId="0" fontId="26" fillId="8" borderId="0" xfId="0" applyFont="1" applyFill="1" applyBorder="1" applyAlignment="1">
      <alignment horizontal="center" vertical="top" wrapText="1"/>
    </xf>
    <xf numFmtId="0" fontId="26" fillId="8" borderId="7" xfId="0" applyFont="1" applyFill="1" applyBorder="1" applyAlignment="1">
      <alignment horizontal="justify" vertical="top" wrapText="1"/>
    </xf>
    <xf numFmtId="0" fontId="26" fillId="8" borderId="9" xfId="0" applyFont="1" applyFill="1" applyBorder="1" applyAlignment="1">
      <alignment horizontal="justify" vertical="top" wrapText="1"/>
    </xf>
    <xf numFmtId="0" fontId="26" fillId="8" borderId="10" xfId="0" applyFont="1" applyFill="1" applyBorder="1" applyAlignment="1">
      <alignment horizontal="justify" vertical="top" wrapText="1"/>
    </xf>
    <xf numFmtId="0" fontId="26" fillId="7" borderId="7" xfId="0" applyFont="1" applyFill="1" applyBorder="1" applyAlignment="1">
      <alignment horizontal="justify" vertical="top" wrapText="1"/>
    </xf>
    <xf numFmtId="0" fontId="26" fillId="7" borderId="9" xfId="0" applyFont="1" applyFill="1" applyBorder="1" applyAlignment="1">
      <alignment horizontal="justify" vertical="top" wrapText="1"/>
    </xf>
    <xf numFmtId="0" fontId="26" fillId="7" borderId="10" xfId="0" applyFont="1" applyFill="1" applyBorder="1" applyAlignment="1">
      <alignment horizontal="justify" vertical="top" wrapText="1"/>
    </xf>
    <xf numFmtId="0" fontId="26" fillId="7" borderId="7" xfId="0" applyFont="1" applyFill="1" applyBorder="1" applyAlignment="1">
      <alignment horizontal="center" vertical="top" wrapText="1"/>
    </xf>
    <xf numFmtId="0" fontId="26" fillId="7" borderId="10" xfId="0" applyFont="1" applyFill="1" applyBorder="1" applyAlignment="1">
      <alignment horizontal="center" vertical="top" wrapText="1"/>
    </xf>
    <xf numFmtId="0" fontId="26" fillId="7" borderId="0" xfId="0" applyFont="1" applyFill="1" applyBorder="1" applyAlignment="1">
      <alignment horizontal="center" vertical="top" wrapText="1"/>
    </xf>
    <xf numFmtId="0" fontId="26" fillId="7" borderId="9" xfId="0" applyFont="1" applyFill="1" applyBorder="1" applyAlignment="1">
      <alignment horizontal="center" vertical="top" wrapText="1"/>
    </xf>
  </cellXfs>
  <cellStyles count="3">
    <cellStyle name="Hiperligação" xfId="1" builtinId="8"/>
    <cellStyle name="Normal" xfId="0" builtinId="0"/>
    <cellStyle name="Normal 3" xfId="2"/>
  </cellStyles>
  <dxfs count="151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22"/>
      </font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104775</xdr:rowOff>
    </xdr:from>
    <xdr:to>
      <xdr:col>4</xdr:col>
      <xdr:colOff>390525</xdr:colOff>
      <xdr:row>1</xdr:row>
      <xdr:rowOff>495300</xdr:rowOff>
    </xdr:to>
    <xdr:pic>
      <xdr:nvPicPr>
        <xdr:cNvPr id="1025" name="Imagem 1" descr="cid:image001.png@01D1626A.55617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104775"/>
          <a:ext cx="15525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428625</xdr:colOff>
      <xdr:row>0</xdr:row>
      <xdr:rowOff>161925</xdr:rowOff>
    </xdr:from>
    <xdr:to>
      <xdr:col>11</xdr:col>
      <xdr:colOff>219075</xdr:colOff>
      <xdr:row>40</xdr:row>
      <xdr:rowOff>57150</xdr:rowOff>
    </xdr:to>
    <xdr:pic>
      <xdr:nvPicPr>
        <xdr:cNvPr id="1026" name="Imagem 1" descr="dgeste-resize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81775" y="161925"/>
          <a:ext cx="19621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771525</xdr:colOff>
      <xdr:row>1</xdr:row>
      <xdr:rowOff>9525</xdr:rowOff>
    </xdr:from>
    <xdr:to>
      <xdr:col>1</xdr:col>
      <xdr:colOff>1228725</xdr:colOff>
      <xdr:row>5</xdr:row>
      <xdr:rowOff>19050</xdr:rowOff>
    </xdr:to>
    <xdr:pic>
      <xdr:nvPicPr>
        <xdr:cNvPr id="2049" name="Imagem 5" descr="cid:image001.png@01D1626A.55617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5" y="171450"/>
          <a:ext cx="15621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1466850</xdr:colOff>
      <xdr:row>0</xdr:row>
      <xdr:rowOff>57150</xdr:rowOff>
    </xdr:from>
    <xdr:to>
      <xdr:col>4</xdr:col>
      <xdr:colOff>3429000</xdr:colOff>
      <xdr:row>5</xdr:row>
      <xdr:rowOff>66675</xdr:rowOff>
    </xdr:to>
    <xdr:pic>
      <xdr:nvPicPr>
        <xdr:cNvPr id="2050" name="Imagem 1" descr="dgeste-resize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829925" y="57150"/>
          <a:ext cx="19621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775607</xdr:colOff>
      <xdr:row>1</xdr:row>
      <xdr:rowOff>13607</xdr:rowOff>
    </xdr:from>
    <xdr:to>
      <xdr:col>1</xdr:col>
      <xdr:colOff>1224322</xdr:colOff>
      <xdr:row>5</xdr:row>
      <xdr:rowOff>18570</xdr:rowOff>
    </xdr:to>
    <xdr:pic>
      <xdr:nvPicPr>
        <xdr:cNvPr id="4" name="Imagem 3" descr="cid:image001.png@01D1626A.5561720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75607" y="175532"/>
          <a:ext cx="1553615" cy="719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1466850</xdr:colOff>
      <xdr:row>0</xdr:row>
      <xdr:rowOff>57150</xdr:rowOff>
    </xdr:from>
    <xdr:to>
      <xdr:col>4</xdr:col>
      <xdr:colOff>3433482</xdr:colOff>
      <xdr:row>5</xdr:row>
      <xdr:rowOff>63874</xdr:rowOff>
    </xdr:to>
    <xdr:pic>
      <xdr:nvPicPr>
        <xdr:cNvPr id="5" name="Imagem 1" descr="dgeste-resized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29925" y="57150"/>
          <a:ext cx="1966632" cy="883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133350</xdr:colOff>
      <xdr:row>4</xdr:row>
      <xdr:rowOff>238125</xdr:rowOff>
    </xdr:to>
    <xdr:pic>
      <xdr:nvPicPr>
        <xdr:cNvPr id="3073" name="Imagem 3" descr="cid:image001.png@01D1626A.55617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5350" y="161925"/>
          <a:ext cx="29718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2667000</xdr:colOff>
      <xdr:row>0</xdr:row>
      <xdr:rowOff>0</xdr:rowOff>
    </xdr:from>
    <xdr:to>
      <xdr:col>4</xdr:col>
      <xdr:colOff>4629150</xdr:colOff>
      <xdr:row>4</xdr:row>
      <xdr:rowOff>228600</xdr:rowOff>
    </xdr:to>
    <xdr:pic>
      <xdr:nvPicPr>
        <xdr:cNvPr id="3074" name="Imagem 1" descr="dgeste-resize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68000" y="0"/>
          <a:ext cx="16668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135751</xdr:colOff>
      <xdr:row>4</xdr:row>
      <xdr:rowOff>236284</xdr:rowOff>
    </xdr:to>
    <xdr:pic>
      <xdr:nvPicPr>
        <xdr:cNvPr id="4" name="Imagem 3" descr="cid:image001.png@01D1626A.5561720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95350" y="161925"/>
          <a:ext cx="2974201" cy="722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2667000</xdr:colOff>
      <xdr:row>0</xdr:row>
      <xdr:rowOff>1</xdr:rowOff>
    </xdr:from>
    <xdr:to>
      <xdr:col>4</xdr:col>
      <xdr:colOff>4633632</xdr:colOff>
      <xdr:row>4</xdr:row>
      <xdr:rowOff>229882</xdr:rowOff>
    </xdr:to>
    <xdr:pic>
      <xdr:nvPicPr>
        <xdr:cNvPr id="5" name="Imagem 1" descr="dgeste-resized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68000" y="1"/>
          <a:ext cx="1671357" cy="877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135751</xdr:colOff>
      <xdr:row>4</xdr:row>
      <xdr:rowOff>236284</xdr:rowOff>
    </xdr:to>
    <xdr:pic>
      <xdr:nvPicPr>
        <xdr:cNvPr id="6" name="Imagem 5" descr="cid:image001.png@01D1626A.5561720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95350" y="161925"/>
          <a:ext cx="2974201" cy="722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2667000</xdr:colOff>
      <xdr:row>0</xdr:row>
      <xdr:rowOff>1</xdr:rowOff>
    </xdr:from>
    <xdr:to>
      <xdr:col>4</xdr:col>
      <xdr:colOff>4633632</xdr:colOff>
      <xdr:row>4</xdr:row>
      <xdr:rowOff>229882</xdr:rowOff>
    </xdr:to>
    <xdr:pic>
      <xdr:nvPicPr>
        <xdr:cNvPr id="7" name="Imagem 1" descr="dgeste-resized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68000" y="1"/>
          <a:ext cx="1671357" cy="877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628650</xdr:colOff>
      <xdr:row>6</xdr:row>
      <xdr:rowOff>9525</xdr:rowOff>
    </xdr:to>
    <xdr:pic>
      <xdr:nvPicPr>
        <xdr:cNvPr id="4097" name="Imagem 3" descr="cid:image001.png@01D1626A.55617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3850"/>
          <a:ext cx="15525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2324100</xdr:colOff>
      <xdr:row>0</xdr:row>
      <xdr:rowOff>66675</xdr:rowOff>
    </xdr:from>
    <xdr:to>
      <xdr:col>4</xdr:col>
      <xdr:colOff>4295775</xdr:colOff>
      <xdr:row>5</xdr:row>
      <xdr:rowOff>133350</xdr:rowOff>
    </xdr:to>
    <xdr:pic>
      <xdr:nvPicPr>
        <xdr:cNvPr id="4098" name="Imagem 1" descr="dgeste-resize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86750" y="66675"/>
          <a:ext cx="19716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</xdr:col>
      <xdr:colOff>625608</xdr:colOff>
      <xdr:row>6</xdr:row>
      <xdr:rowOff>4962</xdr:rowOff>
    </xdr:to>
    <xdr:pic>
      <xdr:nvPicPr>
        <xdr:cNvPr id="4" name="Imagem 3" descr="cid:image001.png@01D1626A.5561720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1549533" cy="719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2326822</xdr:colOff>
      <xdr:row>0</xdr:row>
      <xdr:rowOff>68036</xdr:rowOff>
    </xdr:from>
    <xdr:to>
      <xdr:col>4</xdr:col>
      <xdr:colOff>4293454</xdr:colOff>
      <xdr:row>5</xdr:row>
      <xdr:rowOff>134631</xdr:rowOff>
    </xdr:to>
    <xdr:pic>
      <xdr:nvPicPr>
        <xdr:cNvPr id="5" name="Imagem 1" descr="dgeste-resized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289472" y="68036"/>
          <a:ext cx="1966632" cy="87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0</xdr:rowOff>
    </xdr:from>
    <xdr:to>
      <xdr:col>1</xdr:col>
      <xdr:colOff>1009650</xdr:colOff>
      <xdr:row>5</xdr:row>
      <xdr:rowOff>28575</xdr:rowOff>
    </xdr:to>
    <xdr:pic>
      <xdr:nvPicPr>
        <xdr:cNvPr id="5121" name="Imagem 4" descr="cid:image001.png@01D1626A.55617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61925"/>
          <a:ext cx="15525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2076450</xdr:colOff>
      <xdr:row>0</xdr:row>
      <xdr:rowOff>47625</xdr:rowOff>
    </xdr:from>
    <xdr:to>
      <xdr:col>5</xdr:col>
      <xdr:colOff>95250</xdr:colOff>
      <xdr:row>5</xdr:row>
      <xdr:rowOff>76200</xdr:rowOff>
    </xdr:to>
    <xdr:pic>
      <xdr:nvPicPr>
        <xdr:cNvPr id="5122" name="Imagem 1" descr="dgeste-resize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44075" y="47625"/>
          <a:ext cx="19621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201705</xdr:colOff>
      <xdr:row>1</xdr:row>
      <xdr:rowOff>0</xdr:rowOff>
    </xdr:from>
    <xdr:to>
      <xdr:col>1</xdr:col>
      <xdr:colOff>1013011</xdr:colOff>
      <xdr:row>5</xdr:row>
      <xdr:rowOff>31376</xdr:rowOff>
    </xdr:to>
    <xdr:pic>
      <xdr:nvPicPr>
        <xdr:cNvPr id="4" name="Imagem 3" descr="cid:image001.png@01D1626A.5561720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1705" y="161925"/>
          <a:ext cx="1554256" cy="74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2073087</xdr:colOff>
      <xdr:row>0</xdr:row>
      <xdr:rowOff>44825</xdr:rowOff>
    </xdr:from>
    <xdr:to>
      <xdr:col>5</xdr:col>
      <xdr:colOff>95249</xdr:colOff>
      <xdr:row>5</xdr:row>
      <xdr:rowOff>76202</xdr:rowOff>
    </xdr:to>
    <xdr:pic>
      <xdr:nvPicPr>
        <xdr:cNvPr id="5" name="Imagem 1" descr="dgeste-resized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740712" y="44825"/>
          <a:ext cx="1965512" cy="907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5</xdr:row>
      <xdr:rowOff>9525</xdr:rowOff>
    </xdr:to>
    <xdr:pic>
      <xdr:nvPicPr>
        <xdr:cNvPr id="6145" name="Imagem 3" descr="cid:image001.png@01D1626A.55617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4875" y="161925"/>
          <a:ext cx="15525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828675</xdr:colOff>
      <xdr:row>0</xdr:row>
      <xdr:rowOff>76200</xdr:rowOff>
    </xdr:from>
    <xdr:to>
      <xdr:col>5</xdr:col>
      <xdr:colOff>847725</xdr:colOff>
      <xdr:row>5</xdr:row>
      <xdr:rowOff>76200</xdr:rowOff>
    </xdr:to>
    <xdr:pic>
      <xdr:nvPicPr>
        <xdr:cNvPr id="6146" name="Imagem 1" descr="dgeste-resize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39125" y="76200"/>
          <a:ext cx="40671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40502</xdr:colOff>
      <xdr:row>5</xdr:row>
      <xdr:rowOff>4963</xdr:rowOff>
    </xdr:to>
    <xdr:pic>
      <xdr:nvPicPr>
        <xdr:cNvPr id="6" name="Imagem 5" descr="cid:image001.png@01D1626A.5561720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161925"/>
          <a:ext cx="1554977" cy="719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828901</xdr:colOff>
      <xdr:row>0</xdr:row>
      <xdr:rowOff>78241</xdr:rowOff>
    </xdr:from>
    <xdr:to>
      <xdr:col>5</xdr:col>
      <xdr:colOff>847444</xdr:colOff>
      <xdr:row>5</xdr:row>
      <xdr:rowOff>76801</xdr:rowOff>
    </xdr:to>
    <xdr:pic>
      <xdr:nvPicPr>
        <xdr:cNvPr id="7" name="Imagem 1" descr="dgeste-resized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239351" y="78241"/>
          <a:ext cx="4066668" cy="87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600075</xdr:colOff>
      <xdr:row>5</xdr:row>
      <xdr:rowOff>28575</xdr:rowOff>
    </xdr:to>
    <xdr:pic>
      <xdr:nvPicPr>
        <xdr:cNvPr id="7169" name="Imagem 3" descr="cid:image001.png@01D1626A.55617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1925"/>
          <a:ext cx="15525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152400</xdr:colOff>
      <xdr:row>0</xdr:row>
      <xdr:rowOff>123825</xdr:rowOff>
    </xdr:from>
    <xdr:to>
      <xdr:col>5</xdr:col>
      <xdr:colOff>142875</xdr:colOff>
      <xdr:row>5</xdr:row>
      <xdr:rowOff>152400</xdr:rowOff>
    </xdr:to>
    <xdr:pic>
      <xdr:nvPicPr>
        <xdr:cNvPr id="7170" name="Imagem 1" descr="dgeste-resize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39200" y="123825"/>
          <a:ext cx="32861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598394</xdr:colOff>
      <xdr:row>5</xdr:row>
      <xdr:rowOff>31376</xdr:rowOff>
    </xdr:to>
    <xdr:pic>
      <xdr:nvPicPr>
        <xdr:cNvPr id="4" name="Imagem 3" descr="cid:image001.png@01D1626A.5561720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550894" cy="74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156882</xdr:colOff>
      <xdr:row>0</xdr:row>
      <xdr:rowOff>123264</xdr:rowOff>
    </xdr:from>
    <xdr:to>
      <xdr:col>5</xdr:col>
      <xdr:colOff>140073</xdr:colOff>
      <xdr:row>5</xdr:row>
      <xdr:rowOff>154641</xdr:rowOff>
    </xdr:to>
    <xdr:pic>
      <xdr:nvPicPr>
        <xdr:cNvPr id="5" name="Imagem 1" descr="dgeste-resized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43682" y="123264"/>
          <a:ext cx="3278841" cy="907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584"/>
  <sheetViews>
    <sheetView tabSelected="1" topLeftCell="A285" zoomScaleNormal="100" zoomScaleSheetLayoutView="115" zoomScalePageLayoutView="55" workbookViewId="0">
      <selection activeCell="P526" sqref="P526"/>
    </sheetView>
  </sheetViews>
  <sheetFormatPr defaultRowHeight="20.100000000000001" customHeight="1"/>
  <cols>
    <col min="1" max="1" width="6.5703125" style="18" customWidth="1"/>
    <col min="2" max="2" width="0.85546875" style="19" customWidth="1"/>
    <col min="3" max="3" width="14" style="20" bestFit="1" customWidth="1"/>
    <col min="4" max="4" width="1.28515625" style="19" customWidth="1"/>
    <col min="5" max="5" width="65.7109375" style="71" customWidth="1"/>
    <col min="6" max="6" width="9.7109375" style="40" customWidth="1"/>
    <col min="7" max="7" width="8.42578125" style="40" customWidth="1"/>
    <col min="8" max="8" width="6.42578125" style="40" customWidth="1"/>
    <col min="9" max="9" width="6.85546875" style="40" customWidth="1"/>
    <col min="10" max="10" width="6.42578125" style="40" customWidth="1"/>
    <col min="11" max="11" width="9.85546875" style="40" customWidth="1"/>
    <col min="12" max="12" width="8" style="40" customWidth="1"/>
    <col min="13" max="13" width="6.42578125" style="40" customWidth="1"/>
    <col min="14" max="14" width="8.42578125" style="15" customWidth="1"/>
    <col min="15" max="15" width="9.140625" style="2"/>
    <col min="16" max="16" width="37" style="2" customWidth="1"/>
    <col min="17" max="17" width="44.5703125" style="2" customWidth="1"/>
    <col min="18" max="18" width="19.42578125" style="2" customWidth="1"/>
    <col min="19" max="19" width="22.7109375" style="2" customWidth="1"/>
    <col min="20" max="20" width="28.85546875" style="2" customWidth="1"/>
    <col min="21" max="21" width="18.85546875" style="2" customWidth="1"/>
    <col min="22" max="16384" width="9.140625" style="2"/>
  </cols>
  <sheetData>
    <row r="1" spans="1:15" ht="26.25" customHeight="1">
      <c r="E1" s="63"/>
      <c r="F1" s="21"/>
      <c r="G1" s="21"/>
      <c r="H1" s="21"/>
      <c r="I1" s="21"/>
      <c r="J1" s="21"/>
      <c r="K1" s="21"/>
      <c r="L1" s="21"/>
      <c r="M1" s="21"/>
      <c r="N1" s="10"/>
    </row>
    <row r="2" spans="1:15" ht="51.75" customHeight="1">
      <c r="E2" s="64" t="s">
        <v>601</v>
      </c>
      <c r="F2" s="21"/>
      <c r="G2" s="21"/>
      <c r="H2" s="21"/>
      <c r="I2" s="21"/>
      <c r="J2" s="21"/>
      <c r="K2" s="21"/>
      <c r="L2" s="21"/>
      <c r="M2" s="21"/>
      <c r="N2" s="10"/>
      <c r="O2" s="10"/>
    </row>
    <row r="3" spans="1:15" ht="41.25" hidden="1" customHeight="1">
      <c r="E3" s="63"/>
      <c r="F3" s="21"/>
      <c r="G3" s="21"/>
      <c r="H3" s="21"/>
      <c r="I3" s="21"/>
      <c r="J3" s="21"/>
      <c r="K3" s="21"/>
      <c r="L3" s="21"/>
      <c r="M3" s="21"/>
      <c r="N3" s="10"/>
      <c r="O3" s="10"/>
    </row>
    <row r="4" spans="1:15" ht="12.75" hidden="1" customHeight="1">
      <c r="A4" s="22">
        <v>0</v>
      </c>
      <c r="B4" s="23">
        <v>0</v>
      </c>
      <c r="C4" s="23">
        <v>0</v>
      </c>
      <c r="D4" s="19">
        <v>0</v>
      </c>
      <c r="E4" s="63">
        <v>0</v>
      </c>
      <c r="F4" s="24"/>
      <c r="G4" s="24"/>
      <c r="H4" s="24"/>
      <c r="I4" s="24"/>
      <c r="J4" s="24"/>
      <c r="K4" s="24"/>
      <c r="L4" s="24"/>
      <c r="M4" s="24"/>
      <c r="N4" s="11"/>
      <c r="O4" s="10"/>
    </row>
    <row r="5" spans="1:15" ht="20.100000000000001" hidden="1" customHeight="1">
      <c r="B5" s="19">
        <v>0</v>
      </c>
      <c r="C5" s="25" t="s">
        <v>368</v>
      </c>
      <c r="D5" s="26"/>
      <c r="E5" s="65"/>
      <c r="F5" s="27"/>
      <c r="G5" s="27"/>
      <c r="H5" s="27"/>
      <c r="I5" s="27"/>
      <c r="J5" s="27"/>
      <c r="K5" s="27"/>
      <c r="L5" s="27"/>
      <c r="M5" s="27"/>
      <c r="N5" s="2"/>
      <c r="O5" s="10"/>
    </row>
    <row r="6" spans="1:15" ht="20.100000000000001" hidden="1" customHeight="1" thickBot="1">
      <c r="B6" s="19">
        <v>0</v>
      </c>
      <c r="E6" s="66"/>
      <c r="F6" s="41" t="s">
        <v>370</v>
      </c>
      <c r="G6" s="41" t="s">
        <v>371</v>
      </c>
      <c r="H6" s="41" t="s">
        <v>372</v>
      </c>
      <c r="I6" s="41" t="s">
        <v>373</v>
      </c>
      <c r="J6" s="41" t="s">
        <v>374</v>
      </c>
      <c r="K6" s="41" t="s">
        <v>375</v>
      </c>
      <c r="L6" s="41" t="s">
        <v>376</v>
      </c>
      <c r="M6" s="41" t="s">
        <v>376</v>
      </c>
      <c r="N6" s="2"/>
      <c r="O6" s="10"/>
    </row>
    <row r="7" spans="1:15" ht="20.100000000000001" hidden="1" customHeight="1" thickTop="1">
      <c r="A7" s="159" t="s">
        <v>288</v>
      </c>
      <c r="B7" s="28">
        <v>0</v>
      </c>
      <c r="C7" s="29" t="s">
        <v>289</v>
      </c>
      <c r="D7" s="30"/>
      <c r="E7" s="67"/>
      <c r="F7" s="42"/>
      <c r="G7" s="42"/>
      <c r="H7" s="42"/>
      <c r="I7" s="42"/>
      <c r="J7" s="42"/>
      <c r="K7" s="42"/>
      <c r="L7" s="42"/>
      <c r="M7" s="42"/>
      <c r="N7" s="12"/>
      <c r="O7" s="10"/>
    </row>
    <row r="8" spans="1:15" ht="33.75" hidden="1">
      <c r="A8" s="160"/>
      <c r="B8" s="19">
        <v>0</v>
      </c>
      <c r="C8" s="161" t="s">
        <v>369</v>
      </c>
      <c r="D8" s="30"/>
      <c r="E8" s="67"/>
      <c r="F8" s="154"/>
      <c r="G8" s="154"/>
      <c r="H8" s="154"/>
      <c r="I8" s="154"/>
      <c r="J8" s="154"/>
      <c r="K8" s="154"/>
      <c r="L8" s="154"/>
      <c r="M8" s="154"/>
      <c r="N8" s="12"/>
      <c r="O8" s="10"/>
    </row>
    <row r="9" spans="1:15" ht="20.100000000000001" hidden="1" customHeight="1">
      <c r="A9" s="160"/>
      <c r="B9" s="28">
        <v>0</v>
      </c>
      <c r="C9" s="161"/>
      <c r="D9" s="30"/>
      <c r="E9" s="67"/>
      <c r="F9" s="155"/>
      <c r="G9" s="155"/>
      <c r="H9" s="155"/>
      <c r="I9" s="155"/>
      <c r="J9" s="155"/>
      <c r="K9" s="155"/>
      <c r="L9" s="155"/>
      <c r="M9" s="155"/>
      <c r="N9" s="12"/>
      <c r="O9" s="10"/>
    </row>
    <row r="10" spans="1:15" ht="20.100000000000001" hidden="1" customHeight="1">
      <c r="A10" s="160"/>
      <c r="B10" s="19">
        <v>0</v>
      </c>
      <c r="C10" s="31" t="s">
        <v>291</v>
      </c>
      <c r="D10" s="30"/>
      <c r="E10" s="67"/>
      <c r="F10" s="42"/>
      <c r="G10" s="42"/>
      <c r="H10" s="42"/>
      <c r="I10" s="42"/>
      <c r="J10" s="42"/>
      <c r="K10" s="42"/>
      <c r="L10" s="42"/>
      <c r="M10" s="42"/>
      <c r="N10" s="12"/>
      <c r="O10" s="10"/>
    </row>
    <row r="11" spans="1:15" ht="20.100000000000001" hidden="1" customHeight="1">
      <c r="A11" s="160"/>
      <c r="B11" s="28">
        <v>0</v>
      </c>
      <c r="C11" s="31" t="s">
        <v>292</v>
      </c>
      <c r="D11" s="30"/>
      <c r="E11" s="68"/>
      <c r="F11" s="156"/>
      <c r="G11" s="157"/>
      <c r="H11" s="157"/>
      <c r="I11" s="157"/>
      <c r="J11" s="157"/>
      <c r="K11" s="157"/>
      <c r="L11" s="157"/>
      <c r="M11" s="158"/>
      <c r="N11" s="12"/>
      <c r="O11" s="10"/>
    </row>
    <row r="12" spans="1:15" ht="20.100000000000001" hidden="1" customHeight="1">
      <c r="A12" s="32"/>
      <c r="B12" s="19">
        <v>0</v>
      </c>
      <c r="C12" s="33">
        <v>0</v>
      </c>
      <c r="D12" s="30"/>
      <c r="E12" s="69"/>
      <c r="F12" s="34"/>
      <c r="G12" s="34"/>
      <c r="H12" s="34"/>
      <c r="I12" s="34"/>
      <c r="J12" s="34"/>
      <c r="K12" s="34"/>
      <c r="L12" s="34"/>
      <c r="M12" s="34"/>
      <c r="N12" s="12"/>
      <c r="O12" s="10"/>
    </row>
    <row r="13" spans="1:15" ht="20.100000000000001" hidden="1" customHeight="1" thickBot="1">
      <c r="A13" s="35"/>
      <c r="B13" s="28">
        <v>0</v>
      </c>
      <c r="C13" s="36"/>
      <c r="D13" s="30"/>
      <c r="E13" s="66"/>
      <c r="F13" s="41" t="s">
        <v>370</v>
      </c>
      <c r="G13" s="41" t="s">
        <v>371</v>
      </c>
      <c r="H13" s="41" t="s">
        <v>372</v>
      </c>
      <c r="I13" s="41" t="s">
        <v>373</v>
      </c>
      <c r="J13" s="41" t="s">
        <v>374</v>
      </c>
      <c r="K13" s="41" t="s">
        <v>375</v>
      </c>
      <c r="L13" s="41" t="s">
        <v>376</v>
      </c>
      <c r="M13" s="41" t="s">
        <v>376</v>
      </c>
      <c r="N13" s="12"/>
      <c r="O13" s="10"/>
    </row>
    <row r="14" spans="1:15" ht="20.100000000000001" hidden="1" customHeight="1" thickTop="1">
      <c r="A14" s="159" t="s">
        <v>293</v>
      </c>
      <c r="B14" s="19">
        <v>0</v>
      </c>
      <c r="C14" s="37" t="str">
        <f>$C$7</f>
        <v>Sopa</v>
      </c>
      <c r="D14" s="30"/>
      <c r="E14" s="67"/>
      <c r="F14" s="42"/>
      <c r="G14" s="42"/>
      <c r="H14" s="42"/>
      <c r="I14" s="42"/>
      <c r="J14" s="42"/>
      <c r="K14" s="42"/>
      <c r="L14" s="42"/>
      <c r="M14" s="42"/>
      <c r="N14" s="12"/>
      <c r="O14" s="10"/>
    </row>
    <row r="15" spans="1:15" ht="20.100000000000001" hidden="1" customHeight="1">
      <c r="A15" s="160"/>
      <c r="B15" s="28">
        <v>0</v>
      </c>
      <c r="C15" s="162" t="str">
        <f>$C$8</f>
        <v>Prato e Vegetais</v>
      </c>
      <c r="D15" s="30"/>
      <c r="E15" s="67"/>
      <c r="F15" s="154"/>
      <c r="G15" s="154"/>
      <c r="H15" s="154"/>
      <c r="I15" s="154"/>
      <c r="J15" s="154"/>
      <c r="K15" s="154"/>
      <c r="L15" s="154"/>
      <c r="M15" s="154"/>
      <c r="N15" s="12"/>
      <c r="O15" s="10"/>
    </row>
    <row r="16" spans="1:15" ht="20.100000000000001" hidden="1" customHeight="1">
      <c r="A16" s="160"/>
      <c r="B16" s="19">
        <v>0</v>
      </c>
      <c r="C16" s="162">
        <f>$C$9</f>
        <v>0</v>
      </c>
      <c r="D16" s="30"/>
      <c r="E16" s="67"/>
      <c r="F16" s="155"/>
      <c r="G16" s="155"/>
      <c r="H16" s="155"/>
      <c r="I16" s="155"/>
      <c r="J16" s="155"/>
      <c r="K16" s="155"/>
      <c r="L16" s="155"/>
      <c r="M16" s="155"/>
      <c r="N16" s="12"/>
      <c r="O16" s="10"/>
    </row>
    <row r="17" spans="1:15" ht="20.100000000000001" hidden="1" customHeight="1">
      <c r="A17" s="160"/>
      <c r="B17" s="28">
        <v>0</v>
      </c>
      <c r="C17" s="38" t="str">
        <f>$C$10</f>
        <v>Sobremesa</v>
      </c>
      <c r="D17" s="30"/>
      <c r="E17" s="67"/>
      <c r="F17" s="42"/>
      <c r="G17" s="42"/>
      <c r="H17" s="42"/>
      <c r="I17" s="42"/>
      <c r="J17" s="42"/>
      <c r="K17" s="42"/>
      <c r="L17" s="42"/>
      <c r="M17" s="42"/>
      <c r="N17" s="12"/>
      <c r="O17" s="10"/>
    </row>
    <row r="18" spans="1:15" ht="20.100000000000001" hidden="1" customHeight="1">
      <c r="A18" s="160"/>
      <c r="B18" s="19">
        <v>0</v>
      </c>
      <c r="C18" s="38" t="str">
        <f>$C$11</f>
        <v>Pão</v>
      </c>
      <c r="D18" s="30"/>
      <c r="E18" s="68"/>
      <c r="F18" s="156"/>
      <c r="G18" s="157"/>
      <c r="H18" s="157"/>
      <c r="I18" s="157"/>
      <c r="J18" s="157"/>
      <c r="K18" s="157"/>
      <c r="L18" s="157"/>
      <c r="M18" s="158"/>
      <c r="N18" s="12"/>
      <c r="O18" s="10"/>
    </row>
    <row r="19" spans="1:15" ht="20.100000000000001" hidden="1" customHeight="1">
      <c r="A19" s="32"/>
      <c r="B19" s="28">
        <v>0</v>
      </c>
      <c r="C19" s="33">
        <v>0</v>
      </c>
      <c r="D19" s="30"/>
      <c r="E19" s="69"/>
      <c r="F19" s="34"/>
      <c r="G19" s="34"/>
      <c r="H19" s="34"/>
      <c r="I19" s="34"/>
      <c r="J19" s="34"/>
      <c r="K19" s="34"/>
      <c r="L19" s="34"/>
      <c r="M19" s="34"/>
      <c r="N19" s="12"/>
      <c r="O19" s="10"/>
    </row>
    <row r="20" spans="1:15" ht="20.100000000000001" hidden="1" customHeight="1" thickBot="1">
      <c r="A20" s="35"/>
      <c r="B20" s="19">
        <v>0</v>
      </c>
      <c r="C20" s="36"/>
      <c r="D20" s="30"/>
      <c r="E20" s="66"/>
      <c r="F20" s="41" t="s">
        <v>370</v>
      </c>
      <c r="G20" s="41" t="s">
        <v>371</v>
      </c>
      <c r="H20" s="41" t="s">
        <v>372</v>
      </c>
      <c r="I20" s="41" t="s">
        <v>373</v>
      </c>
      <c r="J20" s="41" t="s">
        <v>374</v>
      </c>
      <c r="K20" s="41" t="s">
        <v>375</v>
      </c>
      <c r="L20" s="41" t="s">
        <v>376</v>
      </c>
      <c r="M20" s="41" t="s">
        <v>376</v>
      </c>
      <c r="N20" s="12"/>
      <c r="O20" s="10"/>
    </row>
    <row r="21" spans="1:15" ht="20.100000000000001" hidden="1" customHeight="1" thickTop="1">
      <c r="A21" s="159" t="s">
        <v>294</v>
      </c>
      <c r="B21" s="28">
        <v>0</v>
      </c>
      <c r="C21" s="37" t="str">
        <f>$C$7</f>
        <v>Sopa</v>
      </c>
      <c r="D21" s="30"/>
      <c r="E21" s="67"/>
      <c r="F21" s="42"/>
      <c r="G21" s="42"/>
      <c r="H21" s="42"/>
      <c r="I21" s="42"/>
      <c r="J21" s="42"/>
      <c r="K21" s="42"/>
      <c r="L21" s="42"/>
      <c r="M21" s="42"/>
      <c r="N21" s="12"/>
      <c r="O21" s="10"/>
    </row>
    <row r="22" spans="1:15" ht="20.100000000000001" hidden="1" customHeight="1">
      <c r="A22" s="160"/>
      <c r="B22" s="19">
        <v>0</v>
      </c>
      <c r="C22" s="162" t="str">
        <f>$C$8</f>
        <v>Prato e Vegetais</v>
      </c>
      <c r="D22" s="30"/>
      <c r="E22" s="67"/>
      <c r="F22" s="154"/>
      <c r="G22" s="154"/>
      <c r="H22" s="154"/>
      <c r="I22" s="154"/>
      <c r="J22" s="154"/>
      <c r="K22" s="154"/>
      <c r="L22" s="154"/>
      <c r="M22" s="154"/>
      <c r="N22" s="12"/>
      <c r="O22" s="10"/>
    </row>
    <row r="23" spans="1:15" ht="20.100000000000001" hidden="1" customHeight="1">
      <c r="A23" s="160"/>
      <c r="B23" s="28">
        <v>0</v>
      </c>
      <c r="C23" s="162">
        <f>$C$9</f>
        <v>0</v>
      </c>
      <c r="D23" s="30"/>
      <c r="E23" s="67"/>
      <c r="F23" s="155"/>
      <c r="G23" s="155"/>
      <c r="H23" s="155"/>
      <c r="I23" s="155"/>
      <c r="J23" s="155"/>
      <c r="K23" s="155"/>
      <c r="L23" s="155"/>
      <c r="M23" s="155"/>
      <c r="N23" s="12"/>
      <c r="O23" s="10"/>
    </row>
    <row r="24" spans="1:15" ht="20.100000000000001" hidden="1" customHeight="1">
      <c r="A24" s="160"/>
      <c r="B24" s="19">
        <v>0</v>
      </c>
      <c r="C24" s="38" t="str">
        <f>$C$10</f>
        <v>Sobremesa</v>
      </c>
      <c r="D24" s="30"/>
      <c r="E24" s="67"/>
      <c r="F24" s="42"/>
      <c r="G24" s="42"/>
      <c r="H24" s="42"/>
      <c r="I24" s="42"/>
      <c r="J24" s="42"/>
      <c r="K24" s="42"/>
      <c r="L24" s="42"/>
      <c r="M24" s="42"/>
      <c r="N24" s="12"/>
      <c r="O24" s="10"/>
    </row>
    <row r="25" spans="1:15" ht="20.100000000000001" hidden="1" customHeight="1">
      <c r="A25" s="160"/>
      <c r="B25" s="28">
        <v>0</v>
      </c>
      <c r="C25" s="38" t="str">
        <f>$C$11</f>
        <v>Pão</v>
      </c>
      <c r="D25" s="30"/>
      <c r="E25" s="68"/>
      <c r="F25" s="156"/>
      <c r="G25" s="157"/>
      <c r="H25" s="157"/>
      <c r="I25" s="157"/>
      <c r="J25" s="157"/>
      <c r="K25" s="157"/>
      <c r="L25" s="157"/>
      <c r="M25" s="158"/>
      <c r="N25" s="12"/>
      <c r="O25" s="10"/>
    </row>
    <row r="26" spans="1:15" ht="20.100000000000001" hidden="1" customHeight="1">
      <c r="A26" s="32"/>
      <c r="B26" s="19">
        <v>0</v>
      </c>
      <c r="C26" s="33">
        <v>0</v>
      </c>
      <c r="D26" s="30"/>
      <c r="E26" s="69"/>
      <c r="F26" s="34"/>
      <c r="G26" s="34"/>
      <c r="H26" s="34"/>
      <c r="I26" s="34"/>
      <c r="J26" s="34"/>
      <c r="K26" s="34"/>
      <c r="L26" s="34"/>
      <c r="M26" s="34"/>
      <c r="N26" s="12"/>
      <c r="O26" s="10"/>
    </row>
    <row r="27" spans="1:15" ht="24.75" hidden="1" customHeight="1" thickBot="1">
      <c r="A27" s="35"/>
      <c r="B27" s="28">
        <v>0</v>
      </c>
      <c r="C27" s="36"/>
      <c r="D27" s="30"/>
      <c r="E27" s="66"/>
      <c r="F27" s="41" t="s">
        <v>370</v>
      </c>
      <c r="G27" s="41" t="s">
        <v>371</v>
      </c>
      <c r="H27" s="41" t="s">
        <v>372</v>
      </c>
      <c r="I27" s="41" t="s">
        <v>373</v>
      </c>
      <c r="J27" s="41" t="s">
        <v>374</v>
      </c>
      <c r="K27" s="41" t="s">
        <v>375</v>
      </c>
      <c r="L27" s="41" t="s">
        <v>376</v>
      </c>
      <c r="M27" s="41" t="s">
        <v>376</v>
      </c>
      <c r="N27" s="12"/>
      <c r="O27" s="10"/>
    </row>
    <row r="28" spans="1:15" ht="20.100000000000001" hidden="1" customHeight="1" thickTop="1">
      <c r="A28" s="159" t="s">
        <v>295</v>
      </c>
      <c r="B28" s="19">
        <v>0</v>
      </c>
      <c r="C28" s="37" t="str">
        <f>$C$7</f>
        <v>Sopa</v>
      </c>
      <c r="D28" s="30"/>
      <c r="E28" s="67"/>
      <c r="F28" s="42"/>
      <c r="G28" s="42"/>
      <c r="H28" s="42"/>
      <c r="I28" s="42"/>
      <c r="J28" s="42"/>
      <c r="K28" s="42"/>
      <c r="L28" s="42"/>
      <c r="M28" s="42"/>
      <c r="N28" s="12"/>
      <c r="O28" s="10"/>
    </row>
    <row r="29" spans="1:15" ht="24.75" hidden="1" customHeight="1">
      <c r="A29" s="160"/>
      <c r="B29" s="28">
        <v>0</v>
      </c>
      <c r="C29" s="161" t="str">
        <f>$C$8</f>
        <v>Prato e Vegetais</v>
      </c>
      <c r="D29" s="30"/>
      <c r="E29" s="67"/>
      <c r="F29" s="154"/>
      <c r="G29" s="154"/>
      <c r="H29" s="154"/>
      <c r="I29" s="154"/>
      <c r="J29" s="154"/>
      <c r="K29" s="154"/>
      <c r="L29" s="154"/>
      <c r="M29" s="154"/>
      <c r="N29" s="12"/>
      <c r="O29" s="10"/>
    </row>
    <row r="30" spans="1:15" ht="20.100000000000001" hidden="1" customHeight="1">
      <c r="A30" s="160"/>
      <c r="B30" s="19">
        <v>0</v>
      </c>
      <c r="C30" s="161">
        <f>$C$9</f>
        <v>0</v>
      </c>
      <c r="D30" s="30"/>
      <c r="E30" s="67"/>
      <c r="F30" s="155"/>
      <c r="G30" s="155"/>
      <c r="H30" s="155"/>
      <c r="I30" s="155"/>
      <c r="J30" s="155"/>
      <c r="K30" s="155"/>
      <c r="L30" s="155"/>
      <c r="M30" s="155"/>
      <c r="N30" s="12"/>
      <c r="O30" s="10"/>
    </row>
    <row r="31" spans="1:15" ht="20.100000000000001" hidden="1" customHeight="1">
      <c r="A31" s="160"/>
      <c r="B31" s="28">
        <v>0</v>
      </c>
      <c r="C31" s="38" t="str">
        <f>$C$10</f>
        <v>Sobremesa</v>
      </c>
      <c r="D31" s="30"/>
      <c r="E31" s="67"/>
      <c r="F31" s="42"/>
      <c r="G31" s="42"/>
      <c r="H31" s="42"/>
      <c r="I31" s="42"/>
      <c r="J31" s="42"/>
      <c r="K31" s="42"/>
      <c r="L31" s="42"/>
      <c r="M31" s="42"/>
      <c r="N31" s="12"/>
      <c r="O31" s="10"/>
    </row>
    <row r="32" spans="1:15" ht="20.100000000000001" hidden="1" customHeight="1">
      <c r="A32" s="160"/>
      <c r="B32" s="19">
        <v>0</v>
      </c>
      <c r="C32" s="38" t="str">
        <f>$C$11</f>
        <v>Pão</v>
      </c>
      <c r="D32" s="30"/>
      <c r="E32" s="68"/>
      <c r="F32" s="156"/>
      <c r="G32" s="157"/>
      <c r="H32" s="157"/>
      <c r="I32" s="157"/>
      <c r="J32" s="157"/>
      <c r="K32" s="157"/>
      <c r="L32" s="157"/>
      <c r="M32" s="158"/>
      <c r="N32" s="12"/>
      <c r="O32" s="10"/>
    </row>
    <row r="33" spans="1:22" ht="20.100000000000001" hidden="1" customHeight="1">
      <c r="A33" s="32"/>
      <c r="B33" s="28">
        <v>0</v>
      </c>
      <c r="C33" s="33">
        <v>0</v>
      </c>
      <c r="D33" s="30"/>
      <c r="E33" s="69"/>
      <c r="F33" s="34"/>
      <c r="G33" s="34"/>
      <c r="H33" s="34"/>
      <c r="I33" s="34"/>
      <c r="J33" s="34"/>
      <c r="K33" s="34"/>
      <c r="L33" s="34"/>
      <c r="M33" s="34"/>
      <c r="N33" s="12"/>
      <c r="O33" s="10"/>
    </row>
    <row r="34" spans="1:22" ht="20.100000000000001" hidden="1" customHeight="1" thickBot="1">
      <c r="A34" s="35"/>
      <c r="B34" s="19">
        <v>0</v>
      </c>
      <c r="C34" s="36"/>
      <c r="D34" s="30"/>
      <c r="E34" s="66"/>
      <c r="F34" s="41" t="s">
        <v>370</v>
      </c>
      <c r="G34" s="41" t="s">
        <v>371</v>
      </c>
      <c r="H34" s="41" t="s">
        <v>372</v>
      </c>
      <c r="I34" s="41" t="s">
        <v>373</v>
      </c>
      <c r="J34" s="41" t="s">
        <v>374</v>
      </c>
      <c r="K34" s="41" t="s">
        <v>375</v>
      </c>
      <c r="L34" s="41" t="s">
        <v>376</v>
      </c>
      <c r="M34" s="41" t="s">
        <v>376</v>
      </c>
      <c r="N34" s="12"/>
      <c r="O34" s="10"/>
    </row>
    <row r="35" spans="1:22" ht="20.100000000000001" hidden="1" customHeight="1" thickTop="1">
      <c r="A35" s="159" t="s">
        <v>296</v>
      </c>
      <c r="B35" s="28">
        <v>0</v>
      </c>
      <c r="C35" s="37" t="str">
        <f>$C$7</f>
        <v>Sopa</v>
      </c>
      <c r="D35" s="30"/>
      <c r="E35" s="67"/>
      <c r="F35" s="42"/>
      <c r="G35" s="42"/>
      <c r="H35" s="42"/>
      <c r="I35" s="42"/>
      <c r="J35" s="42"/>
      <c r="K35" s="42"/>
      <c r="L35" s="42"/>
      <c r="M35" s="42"/>
      <c r="N35" s="12"/>
      <c r="O35" s="10"/>
    </row>
    <row r="36" spans="1:22" ht="33.75" hidden="1">
      <c r="A36" s="160"/>
      <c r="B36" s="19">
        <v>0</v>
      </c>
      <c r="C36" s="161" t="str">
        <f>$C$8</f>
        <v>Prato e Vegetais</v>
      </c>
      <c r="D36" s="30"/>
      <c r="E36" s="67"/>
      <c r="F36" s="154"/>
      <c r="G36" s="154"/>
      <c r="H36" s="154"/>
      <c r="I36" s="154"/>
      <c r="J36" s="154"/>
      <c r="K36" s="154"/>
      <c r="L36" s="154"/>
      <c r="M36" s="154"/>
      <c r="N36" s="12"/>
      <c r="O36" s="10"/>
    </row>
    <row r="37" spans="1:22" ht="20.100000000000001" hidden="1" customHeight="1">
      <c r="A37" s="160"/>
      <c r="B37" s="28">
        <v>0</v>
      </c>
      <c r="C37" s="161">
        <f>$C$9</f>
        <v>0</v>
      </c>
      <c r="D37" s="30"/>
      <c r="E37" s="67"/>
      <c r="F37" s="155"/>
      <c r="G37" s="155"/>
      <c r="H37" s="155"/>
      <c r="I37" s="155"/>
      <c r="J37" s="155"/>
      <c r="K37" s="155"/>
      <c r="L37" s="155"/>
      <c r="M37" s="155"/>
      <c r="N37" s="12"/>
      <c r="O37" s="10"/>
    </row>
    <row r="38" spans="1:22" ht="20.100000000000001" hidden="1" customHeight="1">
      <c r="A38" s="160"/>
      <c r="B38" s="19">
        <v>0</v>
      </c>
      <c r="C38" s="38" t="str">
        <f>$C$10</f>
        <v>Sobremesa</v>
      </c>
      <c r="D38" s="30"/>
      <c r="E38" s="67"/>
      <c r="F38" s="42"/>
      <c r="G38" s="42"/>
      <c r="H38" s="42"/>
      <c r="I38" s="42"/>
      <c r="J38" s="42"/>
      <c r="K38" s="42"/>
      <c r="L38" s="42"/>
      <c r="M38" s="42"/>
      <c r="N38" s="12"/>
      <c r="O38" s="10"/>
    </row>
    <row r="39" spans="1:22" ht="20.100000000000001" hidden="1" customHeight="1">
      <c r="A39" s="160"/>
      <c r="B39" s="28">
        <v>0</v>
      </c>
      <c r="C39" s="38" t="str">
        <f>$C$11</f>
        <v>Pão</v>
      </c>
      <c r="D39" s="30"/>
      <c r="E39" s="68"/>
      <c r="F39" s="156"/>
      <c r="G39" s="157"/>
      <c r="H39" s="157"/>
      <c r="I39" s="157"/>
      <c r="J39" s="157"/>
      <c r="K39" s="157"/>
      <c r="L39" s="157"/>
      <c r="M39" s="158"/>
      <c r="N39" s="12"/>
      <c r="O39" s="10"/>
    </row>
    <row r="40" spans="1:22" ht="123" hidden="1" customHeight="1">
      <c r="A40" s="167" t="s">
        <v>378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2"/>
      <c r="O40" s="10"/>
    </row>
    <row r="41" spans="1:22" ht="39.950000000000003" customHeight="1">
      <c r="B41" s="28">
        <v>0</v>
      </c>
      <c r="C41" s="61" t="s">
        <v>384</v>
      </c>
      <c r="D41" s="26"/>
      <c r="E41" s="70" t="s">
        <v>180</v>
      </c>
      <c r="F41" s="39"/>
      <c r="G41" s="39"/>
      <c r="H41" s="39"/>
      <c r="I41" s="39"/>
      <c r="J41" s="39"/>
      <c r="K41" s="39"/>
      <c r="L41" s="39"/>
      <c r="M41" s="39"/>
      <c r="N41" s="1"/>
      <c r="O41" s="10"/>
    </row>
    <row r="42" spans="1:22" ht="34.5" thickBot="1">
      <c r="B42" s="19">
        <v>0</v>
      </c>
      <c r="E42" s="66"/>
      <c r="F42" s="41" t="s">
        <v>370</v>
      </c>
      <c r="G42" s="41" t="s">
        <v>371</v>
      </c>
      <c r="H42" s="41" t="s">
        <v>372</v>
      </c>
      <c r="I42" s="41" t="s">
        <v>373</v>
      </c>
      <c r="J42" s="41" t="s">
        <v>374</v>
      </c>
      <c r="K42" s="41" t="s">
        <v>602</v>
      </c>
      <c r="L42" s="41" t="s">
        <v>603</v>
      </c>
      <c r="M42" s="41" t="s">
        <v>376</v>
      </c>
      <c r="N42" s="3"/>
      <c r="O42" s="10"/>
    </row>
    <row r="43" spans="1:22" ht="20.100000000000001" customHeight="1" thickTop="1">
      <c r="A43" s="159" t="s">
        <v>288</v>
      </c>
      <c r="B43" s="28">
        <v>0</v>
      </c>
      <c r="C43" s="29" t="s">
        <v>289</v>
      </c>
      <c r="D43" s="30"/>
      <c r="E43" s="67" t="s">
        <v>197</v>
      </c>
      <c r="F43" s="60">
        <v>427.7</v>
      </c>
      <c r="G43" s="60">
        <v>102.2</v>
      </c>
      <c r="H43" s="60">
        <v>3.4</v>
      </c>
      <c r="I43" s="60">
        <v>0.5</v>
      </c>
      <c r="J43" s="60">
        <v>14.6</v>
      </c>
      <c r="K43" s="60">
        <v>3.4</v>
      </c>
      <c r="L43" s="60">
        <v>3</v>
      </c>
      <c r="M43" s="60">
        <v>0.4</v>
      </c>
      <c r="N43" s="17" t="s">
        <v>337</v>
      </c>
    </row>
    <row r="44" spans="1:22" ht="20.100000000000001" customHeight="1">
      <c r="A44" s="163"/>
      <c r="B44" s="19">
        <v>0</v>
      </c>
      <c r="C44" s="45" t="s">
        <v>290</v>
      </c>
      <c r="D44" s="30"/>
      <c r="E44" s="67" t="s">
        <v>254</v>
      </c>
      <c r="F44" s="42">
        <v>2211.5</v>
      </c>
      <c r="G44" s="42">
        <v>528.5</v>
      </c>
      <c r="H44" s="42">
        <v>16.399999999999999</v>
      </c>
      <c r="I44" s="42">
        <v>1.4</v>
      </c>
      <c r="J44" s="42">
        <v>63.5</v>
      </c>
      <c r="K44" s="42">
        <v>0.8</v>
      </c>
      <c r="L44" s="42">
        <v>29.9</v>
      </c>
      <c r="M44" s="42">
        <v>1.2</v>
      </c>
      <c r="N44" s="17" t="s">
        <v>337</v>
      </c>
    </row>
    <row r="45" spans="1:22" ht="20.100000000000001" customHeight="1">
      <c r="A45" s="163"/>
      <c r="B45" s="28">
        <v>0</v>
      </c>
      <c r="C45" s="45" t="s">
        <v>174</v>
      </c>
      <c r="D45" s="30"/>
      <c r="E45" s="67" t="s">
        <v>398</v>
      </c>
      <c r="F45" s="42">
        <f>20+25.6+40</f>
        <v>85.6</v>
      </c>
      <c r="G45" s="42">
        <f>4.8+6.1+9.6</f>
        <v>20.5</v>
      </c>
      <c r="H45" s="42">
        <f>0.1+0.2+0.2</f>
        <v>0.5</v>
      </c>
      <c r="I45" s="42">
        <v>0.1</v>
      </c>
      <c r="J45" s="42">
        <f>0.3+0.6+1.8</f>
        <v>2.7</v>
      </c>
      <c r="K45" s="42">
        <f>0.3+0.6+1.8</f>
        <v>2.7</v>
      </c>
      <c r="L45" s="42">
        <f>0.7+0.5+0.4</f>
        <v>1.6</v>
      </c>
      <c r="M45" s="42">
        <v>0</v>
      </c>
      <c r="N45" s="17" t="s">
        <v>337</v>
      </c>
      <c r="O45" s="46"/>
      <c r="U45" s="46"/>
      <c r="V45" s="46"/>
    </row>
    <row r="46" spans="1:22" ht="20.100000000000001" customHeight="1">
      <c r="A46" s="163"/>
      <c r="B46" s="19">
        <v>0</v>
      </c>
      <c r="C46" s="31" t="s">
        <v>291</v>
      </c>
      <c r="D46" s="30"/>
      <c r="E46" s="67" t="s">
        <v>399</v>
      </c>
      <c r="F46" s="42" t="s">
        <v>605</v>
      </c>
      <c r="G46" s="58" t="s">
        <v>606</v>
      </c>
      <c r="H46" s="58" t="s">
        <v>607</v>
      </c>
      <c r="I46" s="58" t="s">
        <v>608</v>
      </c>
      <c r="J46" s="58" t="s">
        <v>609</v>
      </c>
      <c r="K46" s="58" t="s">
        <v>610</v>
      </c>
      <c r="L46" s="58" t="s">
        <v>611</v>
      </c>
      <c r="M46" s="58" t="s">
        <v>612</v>
      </c>
      <c r="N46" s="17" t="s">
        <v>337</v>
      </c>
    </row>
    <row r="47" spans="1:22" ht="20.100000000000001" customHeight="1">
      <c r="A47" s="163"/>
      <c r="B47" s="28">
        <v>0</v>
      </c>
      <c r="C47" s="31" t="s">
        <v>292</v>
      </c>
      <c r="D47" s="30"/>
      <c r="E47" s="68" t="s">
        <v>297</v>
      </c>
      <c r="F47" s="156" t="s">
        <v>377</v>
      </c>
      <c r="G47" s="157"/>
      <c r="H47" s="157"/>
      <c r="I47" s="157"/>
      <c r="J47" s="157"/>
      <c r="K47" s="157"/>
      <c r="L47" s="157"/>
      <c r="M47" s="158"/>
      <c r="N47" s="16"/>
    </row>
    <row r="48" spans="1:22" ht="20.100000000000001" customHeight="1">
      <c r="A48" s="32"/>
      <c r="B48" s="19">
        <v>0</v>
      </c>
      <c r="C48" s="33">
        <v>0</v>
      </c>
      <c r="D48" s="30"/>
      <c r="E48" s="69"/>
      <c r="F48" s="34"/>
      <c r="G48" s="34"/>
      <c r="H48" s="34"/>
      <c r="I48" s="34"/>
      <c r="J48" s="34"/>
      <c r="K48" s="34"/>
      <c r="L48" s="34"/>
      <c r="M48" s="34"/>
      <c r="N48" s="4"/>
    </row>
    <row r="49" spans="1:14" ht="20.100000000000001" customHeight="1" thickBot="1">
      <c r="A49" s="35"/>
      <c r="B49" s="28">
        <v>0</v>
      </c>
      <c r="C49" s="36"/>
      <c r="D49" s="30"/>
      <c r="E49" s="66"/>
      <c r="F49" s="41" t="s">
        <v>370</v>
      </c>
      <c r="G49" s="41" t="s">
        <v>371</v>
      </c>
      <c r="H49" s="41" t="s">
        <v>372</v>
      </c>
      <c r="I49" s="41" t="s">
        <v>373</v>
      </c>
      <c r="J49" s="41" t="s">
        <v>374</v>
      </c>
      <c r="K49" s="41" t="s">
        <v>602</v>
      </c>
      <c r="L49" s="41" t="s">
        <v>603</v>
      </c>
      <c r="M49" s="41" t="s">
        <v>376</v>
      </c>
      <c r="N49" s="13"/>
    </row>
    <row r="50" spans="1:14" ht="20.100000000000001" customHeight="1" thickTop="1">
      <c r="A50" s="159" t="s">
        <v>293</v>
      </c>
      <c r="B50" s="19">
        <v>0</v>
      </c>
      <c r="C50" s="37" t="str">
        <f>$C$7</f>
        <v>Sopa</v>
      </c>
      <c r="D50" s="30"/>
      <c r="E50" s="67" t="s">
        <v>299</v>
      </c>
      <c r="F50" s="57">
        <v>470.2</v>
      </c>
      <c r="G50" s="57">
        <v>112.4</v>
      </c>
      <c r="H50" s="57">
        <v>3.3</v>
      </c>
      <c r="I50" s="57">
        <v>0.5</v>
      </c>
      <c r="J50" s="57">
        <v>17.2</v>
      </c>
      <c r="K50" s="57">
        <v>5.6</v>
      </c>
      <c r="L50" s="57">
        <v>3.3</v>
      </c>
      <c r="M50" s="57">
        <v>0.2</v>
      </c>
      <c r="N50" s="17" t="s">
        <v>337</v>
      </c>
    </row>
    <row r="51" spans="1:14" ht="36">
      <c r="A51" s="163"/>
      <c r="B51" s="28">
        <v>0</v>
      </c>
      <c r="C51" s="45" t="s">
        <v>290</v>
      </c>
      <c r="D51" s="30"/>
      <c r="E51" s="67" t="s">
        <v>263</v>
      </c>
      <c r="F51" s="57">
        <f>1025.5+1300.2</f>
        <v>2325.6999999999998</v>
      </c>
      <c r="G51" s="57">
        <f>245.1+310.7</f>
        <v>555.79999999999995</v>
      </c>
      <c r="H51" s="57">
        <f>10.8+3.3</f>
        <v>14.100000000000001</v>
      </c>
      <c r="I51" s="57">
        <f>3+0.5</f>
        <v>3.5</v>
      </c>
      <c r="J51" s="57">
        <f>0.6+62.8</f>
        <v>63.4</v>
      </c>
      <c r="K51" s="57">
        <v>0.6</v>
      </c>
      <c r="L51" s="57">
        <f>36.5+5.5</f>
        <v>42</v>
      </c>
      <c r="M51" s="57">
        <v>0.4</v>
      </c>
      <c r="N51" s="17" t="s">
        <v>337</v>
      </c>
    </row>
    <row r="52" spans="1:14" ht="20.100000000000001" customHeight="1">
      <c r="A52" s="163"/>
      <c r="B52" s="19">
        <v>0</v>
      </c>
      <c r="C52" s="45" t="s">
        <v>174</v>
      </c>
      <c r="D52" s="30"/>
      <c r="E52" s="67" t="s">
        <v>300</v>
      </c>
      <c r="F52" s="42">
        <f>20+25.6+40</f>
        <v>85.6</v>
      </c>
      <c r="G52" s="42">
        <f>4.8+6.1+9.6</f>
        <v>20.5</v>
      </c>
      <c r="H52" s="42">
        <f>0.1+0.2+0.2</f>
        <v>0.5</v>
      </c>
      <c r="I52" s="42">
        <v>0.1</v>
      </c>
      <c r="J52" s="42">
        <f>0.3+0.6+1.8</f>
        <v>2.7</v>
      </c>
      <c r="K52" s="42">
        <f>0.3+0.6+1.8</f>
        <v>2.7</v>
      </c>
      <c r="L52" s="42">
        <f>0.7+0.5+0.4</f>
        <v>1.6</v>
      </c>
      <c r="M52" s="42">
        <v>0</v>
      </c>
      <c r="N52" s="17" t="s">
        <v>337</v>
      </c>
    </row>
    <row r="53" spans="1:14" ht="20.100000000000001" customHeight="1">
      <c r="A53" s="163"/>
      <c r="B53" s="28">
        <v>0</v>
      </c>
      <c r="C53" s="38" t="str">
        <f>$C$10</f>
        <v>Sobremesa</v>
      </c>
      <c r="D53" s="30"/>
      <c r="E53" s="67" t="s">
        <v>298</v>
      </c>
      <c r="F53" s="42">
        <v>319.7</v>
      </c>
      <c r="G53" s="58">
        <v>76.400000000000006</v>
      </c>
      <c r="H53" s="58">
        <v>0.5</v>
      </c>
      <c r="I53" s="58">
        <v>0.2</v>
      </c>
      <c r="J53" s="58">
        <v>16.899999999999999</v>
      </c>
      <c r="K53" s="58">
        <v>16.7</v>
      </c>
      <c r="L53" s="58">
        <v>1.1000000000000001</v>
      </c>
      <c r="M53" s="58">
        <v>0</v>
      </c>
      <c r="N53" s="17" t="s">
        <v>337</v>
      </c>
    </row>
    <row r="54" spans="1:14" ht="20.100000000000001" customHeight="1">
      <c r="A54" s="163"/>
      <c r="B54" s="19">
        <v>0</v>
      </c>
      <c r="C54" s="38" t="str">
        <f>$C$11</f>
        <v>Pão</v>
      </c>
      <c r="D54" s="30"/>
      <c r="E54" s="67" t="s">
        <v>297</v>
      </c>
      <c r="F54" s="156" t="s">
        <v>377</v>
      </c>
      <c r="G54" s="157"/>
      <c r="H54" s="157"/>
      <c r="I54" s="157"/>
      <c r="J54" s="157"/>
      <c r="K54" s="157"/>
      <c r="L54" s="157"/>
      <c r="M54" s="158"/>
      <c r="N54" s="16"/>
    </row>
    <row r="55" spans="1:14" ht="29.25" customHeight="1">
      <c r="A55" s="32"/>
      <c r="B55" s="28">
        <v>0</v>
      </c>
      <c r="C55" s="33"/>
      <c r="D55" s="30"/>
      <c r="E55" s="164" t="s">
        <v>255</v>
      </c>
      <c r="F55" s="165"/>
      <c r="G55" s="165"/>
      <c r="H55" s="165"/>
      <c r="I55" s="165"/>
      <c r="J55" s="165"/>
      <c r="K55" s="165"/>
      <c r="L55" s="166"/>
      <c r="M55" s="34"/>
      <c r="N55" s="4"/>
    </row>
    <row r="56" spans="1:14" ht="20.100000000000001" customHeight="1" thickBot="1">
      <c r="A56" s="35"/>
      <c r="B56" s="19">
        <v>0</v>
      </c>
      <c r="C56" s="36"/>
      <c r="D56" s="30"/>
      <c r="E56" s="66"/>
      <c r="F56" s="41" t="s">
        <v>370</v>
      </c>
      <c r="G56" s="41" t="s">
        <v>371</v>
      </c>
      <c r="H56" s="41" t="s">
        <v>372</v>
      </c>
      <c r="I56" s="41" t="s">
        <v>373</v>
      </c>
      <c r="J56" s="41" t="s">
        <v>374</v>
      </c>
      <c r="K56" s="41" t="s">
        <v>602</v>
      </c>
      <c r="L56" s="41" t="s">
        <v>603</v>
      </c>
      <c r="M56" s="41" t="s">
        <v>376</v>
      </c>
      <c r="N56" s="13"/>
    </row>
    <row r="57" spans="1:14" ht="20.100000000000001" customHeight="1" thickTop="1">
      <c r="A57" s="159" t="s">
        <v>294</v>
      </c>
      <c r="B57" s="28">
        <v>0</v>
      </c>
      <c r="C57" s="37" t="str">
        <f>$C$7</f>
        <v>Sopa</v>
      </c>
      <c r="D57" s="30"/>
      <c r="E57" s="67" t="s">
        <v>357</v>
      </c>
      <c r="F57" s="42">
        <v>867.6</v>
      </c>
      <c r="G57" s="42">
        <v>207.4</v>
      </c>
      <c r="H57" s="42">
        <v>3.7</v>
      </c>
      <c r="I57" s="42">
        <v>0.6</v>
      </c>
      <c r="J57" s="42">
        <v>31.3</v>
      </c>
      <c r="K57" s="42">
        <v>4.2</v>
      </c>
      <c r="L57" s="42">
        <v>11.5</v>
      </c>
      <c r="M57" s="42">
        <v>0.2</v>
      </c>
      <c r="N57" s="17" t="s">
        <v>337</v>
      </c>
    </row>
    <row r="58" spans="1:14" ht="34.5" customHeight="1">
      <c r="A58" s="163"/>
      <c r="B58" s="19">
        <v>0</v>
      </c>
      <c r="C58" s="45" t="s">
        <v>290</v>
      </c>
      <c r="D58" s="30"/>
      <c r="E58" s="67" t="s">
        <v>264</v>
      </c>
      <c r="F58" s="57">
        <f>770.8+787.2</f>
        <v>1558</v>
      </c>
      <c r="G58" s="57">
        <f>184.2+188.1</f>
        <v>372.29999999999995</v>
      </c>
      <c r="H58" s="57">
        <f>5.8+0.1</f>
        <v>5.8999999999999995</v>
      </c>
      <c r="I58" s="57">
        <v>0.9</v>
      </c>
      <c r="J58" s="57">
        <f>0.7+39.9</f>
        <v>40.6</v>
      </c>
      <c r="K58" s="57">
        <f>0.6+3.2</f>
        <v>3.8000000000000003</v>
      </c>
      <c r="L58" s="57">
        <f>32.5+5.8</f>
        <v>38.299999999999997</v>
      </c>
      <c r="M58" s="57">
        <f>0.6+0.2</f>
        <v>0.8</v>
      </c>
      <c r="N58" s="17" t="s">
        <v>337</v>
      </c>
    </row>
    <row r="59" spans="1:14" ht="20.100000000000001" customHeight="1">
      <c r="A59" s="163"/>
      <c r="B59" s="28">
        <v>0</v>
      </c>
      <c r="C59" s="45" t="s">
        <v>174</v>
      </c>
      <c r="D59" s="30"/>
      <c r="E59" s="67" t="s">
        <v>400</v>
      </c>
      <c r="F59" s="42">
        <f>20+30+40</f>
        <v>90</v>
      </c>
      <c r="G59" s="42">
        <f>4.8+7.2+9.6</f>
        <v>21.6</v>
      </c>
      <c r="H59" s="42">
        <v>0.3</v>
      </c>
      <c r="I59" s="42">
        <v>0</v>
      </c>
      <c r="J59" s="42">
        <f>0.3+1.4+1.8</f>
        <v>3.5</v>
      </c>
      <c r="K59" s="42">
        <f>0.3+1.4+1.8</f>
        <v>3.5</v>
      </c>
      <c r="L59" s="42">
        <f>0.7+0.4+0.4</f>
        <v>1.5</v>
      </c>
      <c r="M59" s="42">
        <v>0.1</v>
      </c>
      <c r="N59" s="16" t="s">
        <v>337</v>
      </c>
    </row>
    <row r="60" spans="1:14" ht="20.100000000000001" customHeight="1">
      <c r="A60" s="163"/>
      <c r="B60" s="19">
        <v>0</v>
      </c>
      <c r="C60" s="38" t="str">
        <f>$C$10</f>
        <v>Sobremesa</v>
      </c>
      <c r="D60" s="30"/>
      <c r="E60" s="67" t="s">
        <v>310</v>
      </c>
      <c r="F60" s="42">
        <v>319.7</v>
      </c>
      <c r="G60" s="58">
        <v>76.400000000000006</v>
      </c>
      <c r="H60" s="58">
        <v>0.5</v>
      </c>
      <c r="I60" s="58">
        <v>0.2</v>
      </c>
      <c r="J60" s="58">
        <v>16.899999999999999</v>
      </c>
      <c r="K60" s="58">
        <v>16.7</v>
      </c>
      <c r="L60" s="58">
        <v>1.1000000000000001</v>
      </c>
      <c r="M60" s="58">
        <v>0</v>
      </c>
      <c r="N60" s="17" t="s">
        <v>337</v>
      </c>
    </row>
    <row r="61" spans="1:14" ht="27.75" customHeight="1">
      <c r="A61" s="163"/>
      <c r="B61" s="28">
        <v>0</v>
      </c>
      <c r="C61" s="38" t="str">
        <f>$C$11</f>
        <v>Pão</v>
      </c>
      <c r="D61" s="30"/>
      <c r="E61" s="67" t="s">
        <v>297</v>
      </c>
      <c r="F61" s="156" t="s">
        <v>377</v>
      </c>
      <c r="G61" s="157"/>
      <c r="H61" s="157"/>
      <c r="I61" s="157"/>
      <c r="J61" s="157"/>
      <c r="K61" s="157"/>
      <c r="L61" s="157"/>
      <c r="M61" s="158"/>
      <c r="N61" s="16"/>
    </row>
    <row r="62" spans="1:14" ht="20.100000000000001" customHeight="1">
      <c r="A62" s="32"/>
      <c r="B62" s="19">
        <v>0</v>
      </c>
      <c r="C62" s="33"/>
      <c r="D62" s="30"/>
      <c r="E62" s="164" t="s">
        <v>256</v>
      </c>
      <c r="F62" s="165"/>
      <c r="G62" s="165"/>
      <c r="H62" s="165"/>
      <c r="I62" s="165"/>
      <c r="J62" s="165"/>
      <c r="K62" s="165"/>
      <c r="L62" s="166"/>
      <c r="M62" s="34"/>
      <c r="N62" s="4"/>
    </row>
    <row r="63" spans="1:14" ht="20.100000000000001" customHeight="1" thickBot="1">
      <c r="A63" s="35"/>
      <c r="B63" s="28">
        <v>0</v>
      </c>
      <c r="C63" s="36"/>
      <c r="D63" s="30"/>
      <c r="E63" s="69"/>
      <c r="F63" s="41" t="s">
        <v>370</v>
      </c>
      <c r="G63" s="41" t="s">
        <v>371</v>
      </c>
      <c r="H63" s="41" t="s">
        <v>372</v>
      </c>
      <c r="I63" s="41" t="s">
        <v>373</v>
      </c>
      <c r="J63" s="41" t="s">
        <v>374</v>
      </c>
      <c r="K63" s="41" t="s">
        <v>602</v>
      </c>
      <c r="L63" s="41" t="s">
        <v>603</v>
      </c>
      <c r="M63" s="41" t="s">
        <v>376</v>
      </c>
      <c r="N63" s="13"/>
    </row>
    <row r="64" spans="1:14" ht="20.100000000000001" customHeight="1" thickTop="1">
      <c r="A64" s="159" t="s">
        <v>295</v>
      </c>
      <c r="B64" s="19">
        <v>0</v>
      </c>
      <c r="C64" s="37" t="str">
        <f>$C$7</f>
        <v>Sopa</v>
      </c>
      <c r="D64" s="30"/>
      <c r="E64" s="67" t="s">
        <v>301</v>
      </c>
      <c r="F64" s="42">
        <v>465.7</v>
      </c>
      <c r="G64" s="42">
        <v>111.3</v>
      </c>
      <c r="H64" s="42">
        <v>3.6</v>
      </c>
      <c r="I64" s="42">
        <v>0.6</v>
      </c>
      <c r="J64" s="42">
        <v>15.8</v>
      </c>
      <c r="K64" s="42">
        <v>4.2</v>
      </c>
      <c r="L64" s="42">
        <v>3.8</v>
      </c>
      <c r="M64" s="42">
        <v>0.3</v>
      </c>
      <c r="N64" s="17" t="s">
        <v>337</v>
      </c>
    </row>
    <row r="65" spans="1:14" ht="20.100000000000001" customHeight="1">
      <c r="A65" s="163"/>
      <c r="B65" s="28">
        <v>0</v>
      </c>
      <c r="C65" s="45" t="s">
        <v>290</v>
      </c>
      <c r="D65" s="30"/>
      <c r="E65" s="67" t="s">
        <v>198</v>
      </c>
      <c r="F65" s="42">
        <f>1261.9+1198.4</f>
        <v>2460.3000000000002</v>
      </c>
      <c r="G65" s="42">
        <f>301.6+286.4</f>
        <v>588</v>
      </c>
      <c r="H65" s="42">
        <f>7.7+1.5</f>
        <v>9.1999999999999993</v>
      </c>
      <c r="I65" s="42">
        <f>1.6+0.3</f>
        <v>1.9000000000000001</v>
      </c>
      <c r="J65" s="42">
        <f>4.5+56.9</f>
        <v>61.4</v>
      </c>
      <c r="K65" s="42">
        <f>2.5+1.3</f>
        <v>3.8</v>
      </c>
      <c r="L65" s="42">
        <f>53.5+9.7</f>
        <v>63.2</v>
      </c>
      <c r="M65" s="42">
        <v>0.6</v>
      </c>
      <c r="N65" s="17" t="s">
        <v>337</v>
      </c>
    </row>
    <row r="66" spans="1:14" ht="20.100000000000001" customHeight="1">
      <c r="A66" s="163"/>
      <c r="B66" s="19">
        <v>0</v>
      </c>
      <c r="C66" s="45" t="s">
        <v>174</v>
      </c>
      <c r="D66" s="30"/>
      <c r="E66" s="67" t="s">
        <v>242</v>
      </c>
      <c r="F66" s="42">
        <f>163.3+23+40</f>
        <v>226.3</v>
      </c>
      <c r="G66" s="42">
        <f>39.2+5.5+9.6</f>
        <v>54.300000000000004</v>
      </c>
      <c r="H66" s="42">
        <v>0.9</v>
      </c>
      <c r="I66" s="42">
        <v>0</v>
      </c>
      <c r="J66" s="42">
        <f>7.1+0.7+1.8</f>
        <v>9.6</v>
      </c>
      <c r="K66" s="42">
        <f>0.6+1.8</f>
        <v>2.4</v>
      </c>
      <c r="L66" s="42">
        <f>1.5+0.4+0.4</f>
        <v>2.2999999999999998</v>
      </c>
      <c r="M66" s="42">
        <v>0</v>
      </c>
      <c r="N66" s="16" t="s">
        <v>337</v>
      </c>
    </row>
    <row r="67" spans="1:14" ht="20.100000000000001" customHeight="1">
      <c r="A67" s="163"/>
      <c r="B67" s="28">
        <v>0</v>
      </c>
      <c r="C67" s="38" t="str">
        <f>$C$10</f>
        <v>Sobremesa</v>
      </c>
      <c r="D67" s="30"/>
      <c r="E67" s="67" t="s">
        <v>310</v>
      </c>
      <c r="F67" s="42">
        <v>319.7</v>
      </c>
      <c r="G67" s="42">
        <v>76.400000000000006</v>
      </c>
      <c r="H67" s="42">
        <v>0.5</v>
      </c>
      <c r="I67" s="42">
        <v>0.2</v>
      </c>
      <c r="J67" s="42">
        <v>16.899999999999999</v>
      </c>
      <c r="K67" s="42">
        <v>16.7</v>
      </c>
      <c r="L67" s="42">
        <v>1.1000000000000001</v>
      </c>
      <c r="M67" s="42">
        <v>0</v>
      </c>
      <c r="N67" s="17" t="s">
        <v>337</v>
      </c>
    </row>
    <row r="68" spans="1:14" ht="20.100000000000001" customHeight="1">
      <c r="A68" s="163"/>
      <c r="B68" s="19">
        <v>0</v>
      </c>
      <c r="C68" s="38" t="str">
        <f>$C$11</f>
        <v>Pão</v>
      </c>
      <c r="D68" s="30"/>
      <c r="E68" s="67" t="s">
        <v>297</v>
      </c>
      <c r="F68" s="156" t="s">
        <v>377</v>
      </c>
      <c r="G68" s="157"/>
      <c r="H68" s="157"/>
      <c r="I68" s="157"/>
      <c r="J68" s="157"/>
      <c r="K68" s="157"/>
      <c r="L68" s="157"/>
      <c r="M68" s="158"/>
      <c r="N68" s="16"/>
    </row>
    <row r="69" spans="1:14" ht="20.100000000000001" customHeight="1">
      <c r="A69" s="32"/>
      <c r="B69" s="28">
        <v>0</v>
      </c>
      <c r="C69" s="33"/>
      <c r="D69" s="30"/>
      <c r="E69" s="69"/>
      <c r="F69" s="34"/>
      <c r="G69" s="34"/>
      <c r="H69" s="34"/>
      <c r="I69" s="34"/>
      <c r="J69" s="34"/>
      <c r="K69" s="34"/>
      <c r="L69" s="34"/>
      <c r="M69" s="34"/>
      <c r="N69" s="4"/>
    </row>
    <row r="70" spans="1:14" ht="20.100000000000001" customHeight="1" thickBot="1">
      <c r="A70" s="35"/>
      <c r="B70" s="19">
        <v>0</v>
      </c>
      <c r="C70" s="36"/>
      <c r="D70" s="30"/>
      <c r="E70" s="66"/>
      <c r="F70" s="41" t="s">
        <v>370</v>
      </c>
      <c r="G70" s="41" t="s">
        <v>371</v>
      </c>
      <c r="H70" s="41" t="s">
        <v>372</v>
      </c>
      <c r="I70" s="41" t="s">
        <v>373</v>
      </c>
      <c r="J70" s="41" t="s">
        <v>374</v>
      </c>
      <c r="K70" s="41" t="s">
        <v>602</v>
      </c>
      <c r="L70" s="41" t="s">
        <v>603</v>
      </c>
      <c r="M70" s="41" t="s">
        <v>376</v>
      </c>
      <c r="N70" s="13"/>
    </row>
    <row r="71" spans="1:14" ht="20.100000000000001" customHeight="1" thickTop="1">
      <c r="A71" s="159" t="s">
        <v>296</v>
      </c>
      <c r="B71" s="28">
        <v>0</v>
      </c>
      <c r="C71" s="37" t="str">
        <f>$C$7</f>
        <v>Sopa</v>
      </c>
      <c r="D71" s="30"/>
      <c r="E71" s="67" t="s">
        <v>199</v>
      </c>
      <c r="F71" s="42">
        <v>979.8</v>
      </c>
      <c r="G71" s="42">
        <v>234.2</v>
      </c>
      <c r="H71" s="42">
        <v>5.0999999999999996</v>
      </c>
      <c r="I71" s="42">
        <v>0.6</v>
      </c>
      <c r="J71" s="42">
        <v>35.700000000000003</v>
      </c>
      <c r="K71" s="42">
        <v>5</v>
      </c>
      <c r="L71" s="42">
        <v>10.6</v>
      </c>
      <c r="M71" s="42">
        <v>0.2</v>
      </c>
      <c r="N71" s="17" t="s">
        <v>337</v>
      </c>
    </row>
    <row r="72" spans="1:14" ht="33.75" customHeight="1">
      <c r="A72" s="163"/>
      <c r="B72" s="19">
        <v>0</v>
      </c>
      <c r="C72" s="45" t="s">
        <v>290</v>
      </c>
      <c r="D72" s="30"/>
      <c r="E72" s="67" t="s">
        <v>334</v>
      </c>
      <c r="F72" s="42">
        <v>1966.1</v>
      </c>
      <c r="G72" s="42">
        <v>469.9</v>
      </c>
      <c r="H72" s="42">
        <v>11.1</v>
      </c>
      <c r="I72" s="42">
        <v>2</v>
      </c>
      <c r="J72" s="42">
        <v>52.2</v>
      </c>
      <c r="K72" s="42">
        <v>3.5</v>
      </c>
      <c r="L72" s="42">
        <v>38.799999999999997</v>
      </c>
      <c r="M72" s="42">
        <v>6.6</v>
      </c>
      <c r="N72" s="17" t="s">
        <v>337</v>
      </c>
    </row>
    <row r="73" spans="1:14" ht="20.100000000000001" customHeight="1">
      <c r="A73" s="163"/>
      <c r="B73" s="28">
        <v>0</v>
      </c>
      <c r="C73" s="45" t="s">
        <v>174</v>
      </c>
      <c r="D73" s="30"/>
      <c r="E73" s="67" t="s">
        <v>305</v>
      </c>
      <c r="F73" s="42">
        <f>20+30+32.4</f>
        <v>82.4</v>
      </c>
      <c r="G73" s="42">
        <f>4.8+7.2+7.7</f>
        <v>19.7</v>
      </c>
      <c r="H73" s="42">
        <v>0.2</v>
      </c>
      <c r="I73" s="42">
        <v>0</v>
      </c>
      <c r="J73" s="42">
        <f>0.3+1.4+1.8</f>
        <v>3.5</v>
      </c>
      <c r="K73" s="42">
        <f>0.3+1.4+1.6</f>
        <v>3.3</v>
      </c>
      <c r="L73" s="42">
        <f>0.7+0.4+0.2</f>
        <v>1.3</v>
      </c>
      <c r="M73" s="42">
        <v>0.2</v>
      </c>
      <c r="N73" s="16" t="s">
        <v>337</v>
      </c>
    </row>
    <row r="74" spans="1:14" ht="20.100000000000001" customHeight="1">
      <c r="A74" s="163"/>
      <c r="B74" s="19">
        <v>0</v>
      </c>
      <c r="C74" s="38" t="str">
        <f>$C$10</f>
        <v>Sobremesa</v>
      </c>
      <c r="D74" s="30"/>
      <c r="E74" s="67" t="s">
        <v>314</v>
      </c>
      <c r="F74" s="42" t="s">
        <v>621</v>
      </c>
      <c r="G74" s="58" t="s">
        <v>622</v>
      </c>
      <c r="H74" s="58" t="s">
        <v>623</v>
      </c>
      <c r="I74" s="58" t="s">
        <v>624</v>
      </c>
      <c r="J74" s="58" t="s">
        <v>625</v>
      </c>
      <c r="K74" s="58" t="s">
        <v>626</v>
      </c>
      <c r="L74" s="58" t="s">
        <v>627</v>
      </c>
      <c r="M74" s="58" t="s">
        <v>628</v>
      </c>
      <c r="N74" s="17" t="s">
        <v>337</v>
      </c>
    </row>
    <row r="75" spans="1:14" ht="20.100000000000001" customHeight="1">
      <c r="A75" s="163"/>
      <c r="B75" s="28">
        <v>0</v>
      </c>
      <c r="C75" s="38" t="str">
        <f>$C$11</f>
        <v>Pão</v>
      </c>
      <c r="D75" s="30"/>
      <c r="E75" s="67" t="s">
        <v>297</v>
      </c>
      <c r="F75" s="156" t="s">
        <v>377</v>
      </c>
      <c r="G75" s="157"/>
      <c r="H75" s="157"/>
      <c r="I75" s="157"/>
      <c r="J75" s="157"/>
      <c r="K75" s="157"/>
      <c r="L75" s="157"/>
      <c r="M75" s="158"/>
      <c r="N75" s="16"/>
    </row>
    <row r="76" spans="1:14" ht="123" customHeight="1">
      <c r="A76" s="167" t="str">
        <f>+A$40</f>
        <v xml:space="preserve">
A sua refeição contém ou pode conter as seguintes substâncias ou produtos e seus derivados: 1Cereais que contêm glúten, 2Crustáceos , 3Ovos, 4Peixes, 5Amendoins, 6Soja, 7Leite, 8Frutos de casca rija, 9Aipo, 10Mostarda, 11Sementes de sésamo, 12Dióxido de enxofre e sulfitos, 13Tremoço, 14Moluscos. 
Para quem não é alérgico ou intolerante, estas substâncias ou produtos são completamente inofensivas. 
Caso necessite informação adicional sobre os produtos em causa deve solicitar aos funcionários.
Declaração nutricional: valores médios de 100 g ou 100 ml, calculados a partir dos valores médios conhecidos dos ingredientes utilizados, segundo o Instituto Nacional de Saúde Dr. Ricardo Jorge, Tabela da Composição de Alimentos (2007), e a informação disponibilizada pelos fornecedores.
Legenda: VE - Valor energético, Líp. - Lípidos, AG Sat. - Ácidos Gordos Saturados, HC - Hidratos de Carbono, Prot. - Proteínas.
</v>
      </c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5"/>
    </row>
    <row r="77" spans="1:14" ht="39.950000000000003" customHeight="1">
      <c r="B77" s="28">
        <v>0</v>
      </c>
      <c r="C77" s="61" t="s">
        <v>385</v>
      </c>
      <c r="D77" s="26"/>
      <c r="E77" s="70" t="s">
        <v>181</v>
      </c>
      <c r="F77" s="39"/>
      <c r="G77" s="39"/>
      <c r="H77" s="39"/>
      <c r="I77" s="39"/>
      <c r="J77" s="39"/>
      <c r="K77" s="39"/>
      <c r="L77" s="39"/>
      <c r="M77" s="39"/>
      <c r="N77" s="1"/>
    </row>
    <row r="78" spans="1:14" ht="20.100000000000001" customHeight="1" thickBot="1">
      <c r="B78" s="19">
        <v>0</v>
      </c>
      <c r="E78" s="66"/>
      <c r="F78" s="41" t="s">
        <v>370</v>
      </c>
      <c r="G78" s="41" t="s">
        <v>371</v>
      </c>
      <c r="H78" s="41" t="s">
        <v>372</v>
      </c>
      <c r="I78" s="41" t="s">
        <v>373</v>
      </c>
      <c r="J78" s="41" t="s">
        <v>374</v>
      </c>
      <c r="K78" s="41" t="s">
        <v>602</v>
      </c>
      <c r="L78" s="41" t="s">
        <v>603</v>
      </c>
      <c r="M78" s="41" t="s">
        <v>376</v>
      </c>
      <c r="N78" s="3"/>
    </row>
    <row r="79" spans="1:14" ht="20.100000000000001" customHeight="1" thickTop="1">
      <c r="A79" s="159" t="s">
        <v>288</v>
      </c>
      <c r="B79" s="28">
        <v>0</v>
      </c>
      <c r="C79" s="29" t="s">
        <v>289</v>
      </c>
      <c r="D79" s="30"/>
      <c r="E79" s="67" t="s">
        <v>302</v>
      </c>
      <c r="F79" s="57">
        <v>251.1</v>
      </c>
      <c r="G79" s="57">
        <v>60</v>
      </c>
      <c r="H79" s="57">
        <v>3.5</v>
      </c>
      <c r="I79" s="57">
        <v>0.6</v>
      </c>
      <c r="J79" s="57">
        <v>5.5</v>
      </c>
      <c r="K79" s="57">
        <v>4.9000000000000004</v>
      </c>
      <c r="L79" s="57">
        <v>1.9</v>
      </c>
      <c r="M79" s="57">
        <v>0.2</v>
      </c>
      <c r="N79" s="59" t="s">
        <v>337</v>
      </c>
    </row>
    <row r="80" spans="1:14" ht="20.100000000000001" customHeight="1">
      <c r="A80" s="163"/>
      <c r="B80" s="19">
        <v>0</v>
      </c>
      <c r="C80" s="45" t="s">
        <v>290</v>
      </c>
      <c r="D80" s="30"/>
      <c r="E80" s="67" t="s">
        <v>200</v>
      </c>
      <c r="F80" s="57">
        <f>794.2+1198.4</f>
        <v>1992.6000000000001</v>
      </c>
      <c r="G80" s="57">
        <f>189.8+286.4</f>
        <v>476.2</v>
      </c>
      <c r="H80" s="57">
        <f>7.7+1.5</f>
        <v>9.1999999999999993</v>
      </c>
      <c r="I80" s="57">
        <f>2.4+0.3</f>
        <v>2.6999999999999997</v>
      </c>
      <c r="J80" s="57">
        <f>0.7+56.9</f>
        <v>57.6</v>
      </c>
      <c r="K80" s="57">
        <f>0.6+2.5</f>
        <v>3.1</v>
      </c>
      <c r="L80" s="57">
        <f>29.6+9.7</f>
        <v>39.299999999999997</v>
      </c>
      <c r="M80" s="57">
        <v>0.4</v>
      </c>
      <c r="N80" s="153" t="s">
        <v>337</v>
      </c>
    </row>
    <row r="81" spans="1:14" ht="20.100000000000001" customHeight="1">
      <c r="A81" s="163"/>
      <c r="B81" s="28">
        <v>0</v>
      </c>
      <c r="C81" s="45" t="s">
        <v>174</v>
      </c>
      <c r="D81" s="30"/>
      <c r="E81" s="67" t="s">
        <v>248</v>
      </c>
      <c r="F81" s="42">
        <f>20+29.2+40</f>
        <v>89.2</v>
      </c>
      <c r="G81" s="42">
        <f>4.8+7+9.6</f>
        <v>21.4</v>
      </c>
      <c r="H81" s="42">
        <v>0.4</v>
      </c>
      <c r="I81" s="42">
        <v>0</v>
      </c>
      <c r="J81" s="42">
        <f>0.3+1.2+1.8</f>
        <v>3.3</v>
      </c>
      <c r="K81" s="42">
        <f>0.3+0.9+1.8</f>
        <v>3</v>
      </c>
      <c r="L81" s="42">
        <f>0.7+0.4+0.4</f>
        <v>1.5</v>
      </c>
      <c r="M81" s="42">
        <v>0</v>
      </c>
      <c r="N81" s="59" t="s">
        <v>337</v>
      </c>
    </row>
    <row r="82" spans="1:14" ht="20.100000000000001" customHeight="1">
      <c r="A82" s="163"/>
      <c r="B82" s="19">
        <v>0</v>
      </c>
      <c r="C82" s="31" t="s">
        <v>291</v>
      </c>
      <c r="D82" s="30"/>
      <c r="E82" s="67" t="s">
        <v>310</v>
      </c>
      <c r="F82" s="42">
        <v>319.7</v>
      </c>
      <c r="G82" s="58">
        <v>76.400000000000006</v>
      </c>
      <c r="H82" s="58">
        <v>0.5</v>
      </c>
      <c r="I82" s="58">
        <v>0.2</v>
      </c>
      <c r="J82" s="58">
        <v>16.899999999999999</v>
      </c>
      <c r="K82" s="58">
        <v>16.7</v>
      </c>
      <c r="L82" s="58">
        <v>1.1000000000000001</v>
      </c>
      <c r="M82" s="58">
        <v>0</v>
      </c>
      <c r="N82" s="17" t="s">
        <v>337</v>
      </c>
    </row>
    <row r="83" spans="1:14" ht="20.100000000000001" customHeight="1">
      <c r="A83" s="163"/>
      <c r="B83" s="28">
        <v>0</v>
      </c>
      <c r="C83" s="31" t="s">
        <v>292</v>
      </c>
      <c r="D83" s="30"/>
      <c r="E83" s="68" t="s">
        <v>297</v>
      </c>
      <c r="F83" s="156" t="s">
        <v>380</v>
      </c>
      <c r="G83" s="157"/>
      <c r="H83" s="157"/>
      <c r="I83" s="157"/>
      <c r="J83" s="157"/>
      <c r="K83" s="157"/>
      <c r="L83" s="157"/>
      <c r="M83" s="158"/>
      <c r="N83" s="16"/>
    </row>
    <row r="84" spans="1:14" ht="20.100000000000001" customHeight="1">
      <c r="A84" s="32"/>
      <c r="B84" s="19">
        <v>0</v>
      </c>
      <c r="C84" s="33"/>
      <c r="D84" s="30"/>
      <c r="E84" s="69"/>
      <c r="F84" s="34"/>
      <c r="G84" s="34"/>
      <c r="H84" s="34"/>
      <c r="I84" s="34"/>
      <c r="J84" s="34"/>
      <c r="K84" s="34"/>
      <c r="L84" s="34"/>
      <c r="M84" s="34"/>
      <c r="N84" s="4"/>
    </row>
    <row r="85" spans="1:14" ht="20.100000000000001" customHeight="1" thickBot="1">
      <c r="A85" s="35"/>
      <c r="B85" s="28">
        <v>0</v>
      </c>
      <c r="C85" s="36"/>
      <c r="D85" s="30"/>
      <c r="E85" s="66"/>
      <c r="F85" s="41" t="s">
        <v>370</v>
      </c>
      <c r="G85" s="41" t="s">
        <v>371</v>
      </c>
      <c r="H85" s="41" t="s">
        <v>372</v>
      </c>
      <c r="I85" s="41" t="s">
        <v>373</v>
      </c>
      <c r="J85" s="41" t="s">
        <v>374</v>
      </c>
      <c r="K85" s="41" t="s">
        <v>602</v>
      </c>
      <c r="L85" s="41" t="s">
        <v>603</v>
      </c>
      <c r="M85" s="41" t="s">
        <v>376</v>
      </c>
      <c r="N85" s="13"/>
    </row>
    <row r="86" spans="1:14" ht="20.100000000000001" customHeight="1" thickTop="1">
      <c r="A86" s="159" t="s">
        <v>293</v>
      </c>
      <c r="B86" s="19">
        <v>0</v>
      </c>
      <c r="C86" s="37" t="str">
        <f>$C$7</f>
        <v>Sopa</v>
      </c>
      <c r="D86" s="30"/>
      <c r="E86" s="67" t="s">
        <v>403</v>
      </c>
      <c r="F86" s="42">
        <v>865.9</v>
      </c>
      <c r="G86" s="42">
        <v>206.9</v>
      </c>
      <c r="H86" s="42">
        <v>3.8</v>
      </c>
      <c r="I86" s="42">
        <v>0.6</v>
      </c>
      <c r="J86" s="42">
        <v>30.8</v>
      </c>
      <c r="K86" s="42">
        <v>3.9</v>
      </c>
      <c r="L86" s="42">
        <v>11.7</v>
      </c>
      <c r="M86" s="42">
        <v>0.1</v>
      </c>
      <c r="N86" s="17" t="s">
        <v>337</v>
      </c>
    </row>
    <row r="87" spans="1:14" ht="22.5" customHeight="1">
      <c r="A87" s="163"/>
      <c r="B87" s="28">
        <v>0</v>
      </c>
      <c r="C87" s="45" t="s">
        <v>290</v>
      </c>
      <c r="D87" s="30"/>
      <c r="E87" s="67" t="s">
        <v>243</v>
      </c>
      <c r="F87" s="57">
        <f>718.1+1007.1+67.2</f>
        <v>1792.4</v>
      </c>
      <c r="G87" s="57">
        <f>171.6+240.7+16.1</f>
        <v>428.4</v>
      </c>
      <c r="H87" s="57">
        <f>5.4+0.5</f>
        <v>5.9</v>
      </c>
      <c r="I87" s="57">
        <f>0.8+0.1</f>
        <v>0.9</v>
      </c>
      <c r="J87" s="57">
        <f>0.7+51.8+0.9</f>
        <v>53.4</v>
      </c>
      <c r="K87" s="57">
        <f>0.6+3.2+0.7</f>
        <v>4.5</v>
      </c>
      <c r="L87" s="57">
        <f>30.1+6.8+2</f>
        <v>38.9</v>
      </c>
      <c r="M87" s="57">
        <v>0.7</v>
      </c>
      <c r="N87" s="17" t="s">
        <v>337</v>
      </c>
    </row>
    <row r="88" spans="1:14" ht="20.100000000000001" customHeight="1">
      <c r="A88" s="163"/>
      <c r="B88" s="19">
        <v>0</v>
      </c>
      <c r="C88" s="45" t="s">
        <v>174</v>
      </c>
      <c r="D88" s="30"/>
      <c r="E88" s="67" t="s">
        <v>406</v>
      </c>
      <c r="F88" s="42">
        <f>20+163.3+40</f>
        <v>223.3</v>
      </c>
      <c r="G88" s="42">
        <f>4.8+39.2+9.6</f>
        <v>53.6</v>
      </c>
      <c r="H88" s="42">
        <v>0.8</v>
      </c>
      <c r="I88" s="42">
        <v>0</v>
      </c>
      <c r="J88" s="42">
        <f>0.3+7.1+1.8</f>
        <v>9.1999999999999993</v>
      </c>
      <c r="K88" s="42">
        <f>0.3+1.8</f>
        <v>2.1</v>
      </c>
      <c r="L88" s="42">
        <f>0.7+1.5+0.4</f>
        <v>2.6</v>
      </c>
      <c r="M88" s="42">
        <v>0</v>
      </c>
      <c r="N88" s="17" t="s">
        <v>337</v>
      </c>
    </row>
    <row r="89" spans="1:14" ht="20.100000000000001" customHeight="1">
      <c r="A89" s="163"/>
      <c r="B89" s="28">
        <v>0</v>
      </c>
      <c r="C89" s="38" t="str">
        <f>$C$10</f>
        <v>Sobremesa</v>
      </c>
      <c r="D89" s="30"/>
      <c r="E89" s="67" t="s">
        <v>641</v>
      </c>
      <c r="F89" s="42" t="s">
        <v>635</v>
      </c>
      <c r="G89" s="58" t="s">
        <v>636</v>
      </c>
      <c r="H89" s="58" t="s">
        <v>637</v>
      </c>
      <c r="I89" s="58" t="s">
        <v>632</v>
      </c>
      <c r="J89" s="58" t="s">
        <v>638</v>
      </c>
      <c r="K89" s="58" t="s">
        <v>639</v>
      </c>
      <c r="L89" s="58" t="s">
        <v>640</v>
      </c>
      <c r="M89" s="58" t="s">
        <v>620</v>
      </c>
      <c r="N89" s="44" t="s">
        <v>337</v>
      </c>
    </row>
    <row r="90" spans="1:14" ht="20.100000000000001" customHeight="1">
      <c r="A90" s="163"/>
      <c r="B90" s="19">
        <v>0</v>
      </c>
      <c r="C90" s="38" t="str">
        <f>$C$11</f>
        <v>Pão</v>
      </c>
      <c r="D90" s="30"/>
      <c r="E90" s="68" t="s">
        <v>297</v>
      </c>
      <c r="F90" s="156" t="s">
        <v>380</v>
      </c>
      <c r="G90" s="157"/>
      <c r="H90" s="157"/>
      <c r="I90" s="157"/>
      <c r="J90" s="157"/>
      <c r="K90" s="157"/>
      <c r="L90" s="157"/>
      <c r="M90" s="158"/>
      <c r="N90" s="16"/>
    </row>
    <row r="91" spans="1:14" ht="20.100000000000001" customHeight="1">
      <c r="A91" s="32"/>
      <c r="B91" s="28">
        <v>0</v>
      </c>
      <c r="C91" s="33"/>
      <c r="D91" s="30"/>
      <c r="E91" s="69"/>
      <c r="F91" s="34"/>
      <c r="G91" s="34"/>
      <c r="H91" s="34"/>
      <c r="I91" s="34"/>
      <c r="J91" s="34"/>
      <c r="K91" s="34"/>
      <c r="L91" s="34"/>
      <c r="M91" s="34"/>
      <c r="N91" s="4"/>
    </row>
    <row r="92" spans="1:14" ht="20.100000000000001" customHeight="1" thickBot="1">
      <c r="A92" s="35"/>
      <c r="B92" s="19">
        <v>0</v>
      </c>
      <c r="C92" s="36"/>
      <c r="D92" s="30"/>
      <c r="E92" s="66"/>
      <c r="F92" s="41" t="s">
        <v>370</v>
      </c>
      <c r="G92" s="41" t="s">
        <v>371</v>
      </c>
      <c r="H92" s="41" t="s">
        <v>372</v>
      </c>
      <c r="I92" s="41" t="s">
        <v>373</v>
      </c>
      <c r="J92" s="41" t="s">
        <v>374</v>
      </c>
      <c r="K92" s="41" t="s">
        <v>602</v>
      </c>
      <c r="L92" s="41" t="s">
        <v>603</v>
      </c>
      <c r="M92" s="41" t="s">
        <v>376</v>
      </c>
      <c r="N92" s="13"/>
    </row>
    <row r="93" spans="1:14" ht="20.100000000000001" customHeight="1" thickTop="1">
      <c r="A93" s="159" t="s">
        <v>294</v>
      </c>
      <c r="B93" s="28">
        <v>0</v>
      </c>
      <c r="C93" s="37" t="str">
        <f>$C$7</f>
        <v>Sopa</v>
      </c>
      <c r="D93" s="30"/>
      <c r="E93" s="67" t="s">
        <v>201</v>
      </c>
      <c r="F93" s="42">
        <v>268</v>
      </c>
      <c r="G93" s="42">
        <v>64.099999999999994</v>
      </c>
      <c r="H93" s="42">
        <v>3.7</v>
      </c>
      <c r="I93" s="42">
        <v>0.6</v>
      </c>
      <c r="J93" s="42">
        <v>5.4</v>
      </c>
      <c r="K93" s="42">
        <v>4.8</v>
      </c>
      <c r="L93" s="42">
        <v>2.5</v>
      </c>
      <c r="M93" s="42">
        <v>0.4</v>
      </c>
      <c r="N93" s="17" t="s">
        <v>337</v>
      </c>
    </row>
    <row r="94" spans="1:14" ht="32.25" customHeight="1">
      <c r="A94" s="163"/>
      <c r="B94" s="19">
        <v>0</v>
      </c>
      <c r="C94" s="45" t="s">
        <v>290</v>
      </c>
      <c r="D94" s="30"/>
      <c r="E94" s="67" t="s">
        <v>202</v>
      </c>
      <c r="F94" s="57">
        <f>1008.8+1198.4</f>
        <v>2207.1999999999998</v>
      </c>
      <c r="G94" s="57">
        <f>241.1+286.4</f>
        <v>527.5</v>
      </c>
      <c r="H94" s="57">
        <f>4.4+1.5</f>
        <v>5.9</v>
      </c>
      <c r="I94" s="57">
        <f>1.1+0.3</f>
        <v>1.4000000000000001</v>
      </c>
      <c r="J94" s="57">
        <v>56.9</v>
      </c>
      <c r="K94" s="57">
        <v>2.5</v>
      </c>
      <c r="L94" s="57">
        <f>50.4+9.7</f>
        <v>60.099999999999994</v>
      </c>
      <c r="M94" s="57">
        <v>0.6</v>
      </c>
      <c r="N94" s="17" t="s">
        <v>337</v>
      </c>
    </row>
    <row r="95" spans="1:14" ht="20.100000000000001" customHeight="1">
      <c r="A95" s="163"/>
      <c r="B95" s="28">
        <v>0</v>
      </c>
      <c r="C95" s="45" t="s">
        <v>174</v>
      </c>
      <c r="D95" s="30"/>
      <c r="E95" s="67" t="s">
        <v>398</v>
      </c>
      <c r="F95" s="42">
        <f>20+25.6+40</f>
        <v>85.6</v>
      </c>
      <c r="G95" s="42">
        <f>4.8+6.1+9.6</f>
        <v>20.5</v>
      </c>
      <c r="H95" s="42">
        <f>0.1+0.2+0.2</f>
        <v>0.5</v>
      </c>
      <c r="I95" s="42">
        <v>0.1</v>
      </c>
      <c r="J95" s="42">
        <f>0.3+0.6+1.8</f>
        <v>2.7</v>
      </c>
      <c r="K95" s="42">
        <f>0.3+0.6+1.8</f>
        <v>2.7</v>
      </c>
      <c r="L95" s="42">
        <f>0.7+0.5+0.4</f>
        <v>1.6</v>
      </c>
      <c r="M95" s="42">
        <v>0</v>
      </c>
      <c r="N95" s="17" t="s">
        <v>337</v>
      </c>
    </row>
    <row r="96" spans="1:14" ht="20.100000000000001" customHeight="1">
      <c r="A96" s="163"/>
      <c r="B96" s="19">
        <v>0</v>
      </c>
      <c r="C96" s="38" t="str">
        <f>$C$10</f>
        <v>Sobremesa</v>
      </c>
      <c r="D96" s="30"/>
      <c r="E96" s="67" t="s">
        <v>310</v>
      </c>
      <c r="F96" s="42">
        <v>319.7</v>
      </c>
      <c r="G96" s="58">
        <v>76.400000000000006</v>
      </c>
      <c r="H96" s="58">
        <v>0.5</v>
      </c>
      <c r="I96" s="58">
        <v>0.2</v>
      </c>
      <c r="J96" s="58">
        <v>16.899999999999999</v>
      </c>
      <c r="K96" s="58">
        <v>16.7</v>
      </c>
      <c r="L96" s="58">
        <v>1.1000000000000001</v>
      </c>
      <c r="M96" s="58">
        <v>0</v>
      </c>
      <c r="N96" s="17" t="s">
        <v>337</v>
      </c>
    </row>
    <row r="97" spans="1:14" ht="20.100000000000001" customHeight="1">
      <c r="A97" s="163"/>
      <c r="B97" s="28">
        <v>0</v>
      </c>
      <c r="C97" s="38" t="str">
        <f>$C$11</f>
        <v>Pão</v>
      </c>
      <c r="D97" s="30"/>
      <c r="E97" s="67" t="s">
        <v>297</v>
      </c>
      <c r="F97" s="156" t="s">
        <v>380</v>
      </c>
      <c r="G97" s="157"/>
      <c r="H97" s="157"/>
      <c r="I97" s="157"/>
      <c r="J97" s="157"/>
      <c r="K97" s="157"/>
      <c r="L97" s="157"/>
      <c r="M97" s="158"/>
      <c r="N97" s="16"/>
    </row>
    <row r="98" spans="1:14" ht="20.100000000000001" customHeight="1">
      <c r="A98" s="32"/>
      <c r="B98" s="19">
        <v>0</v>
      </c>
      <c r="C98" s="33"/>
      <c r="D98" s="30"/>
      <c r="E98" s="69"/>
      <c r="F98" s="34"/>
      <c r="G98" s="34"/>
      <c r="H98" s="34"/>
      <c r="I98" s="34"/>
      <c r="J98" s="34"/>
      <c r="K98" s="34"/>
      <c r="L98" s="34"/>
      <c r="M98" s="34"/>
      <c r="N98" s="4"/>
    </row>
    <row r="99" spans="1:14" ht="20.100000000000001" customHeight="1" thickBot="1">
      <c r="A99" s="35"/>
      <c r="B99" s="28">
        <v>0</v>
      </c>
      <c r="C99" s="36"/>
      <c r="D99" s="30"/>
      <c r="E99" s="66"/>
      <c r="F99" s="41" t="s">
        <v>370</v>
      </c>
      <c r="G99" s="41" t="s">
        <v>371</v>
      </c>
      <c r="H99" s="41" t="s">
        <v>372</v>
      </c>
      <c r="I99" s="41" t="s">
        <v>373</v>
      </c>
      <c r="J99" s="41" t="s">
        <v>374</v>
      </c>
      <c r="K99" s="41" t="s">
        <v>602</v>
      </c>
      <c r="L99" s="41" t="s">
        <v>603</v>
      </c>
      <c r="M99" s="41" t="s">
        <v>376</v>
      </c>
      <c r="N99" s="13"/>
    </row>
    <row r="100" spans="1:14" ht="20.100000000000001" customHeight="1" thickTop="1">
      <c r="A100" s="159" t="s">
        <v>295</v>
      </c>
      <c r="B100" s="19">
        <v>0</v>
      </c>
      <c r="C100" s="37" t="str">
        <f>$C$7</f>
        <v>Sopa</v>
      </c>
      <c r="D100" s="30"/>
      <c r="E100" s="67" t="s">
        <v>382</v>
      </c>
      <c r="F100" s="42">
        <v>798.5</v>
      </c>
      <c r="G100" s="42">
        <v>190.8</v>
      </c>
      <c r="H100" s="42">
        <v>6.7</v>
      </c>
      <c r="I100" s="42">
        <v>1.7</v>
      </c>
      <c r="J100" s="42">
        <v>25.2</v>
      </c>
      <c r="K100" s="42">
        <v>3.2</v>
      </c>
      <c r="L100" s="42">
        <v>6.8</v>
      </c>
      <c r="M100" s="42">
        <v>0.7</v>
      </c>
      <c r="N100" s="17" t="s">
        <v>337</v>
      </c>
    </row>
    <row r="101" spans="1:14" ht="20.100000000000001" customHeight="1">
      <c r="A101" s="163"/>
      <c r="B101" s="28">
        <v>0</v>
      </c>
      <c r="C101" s="45" t="s">
        <v>290</v>
      </c>
      <c r="D101" s="30"/>
      <c r="E101" s="67" t="s">
        <v>405</v>
      </c>
      <c r="F101" s="57">
        <v>1959</v>
      </c>
      <c r="G101" s="57">
        <v>468.2</v>
      </c>
      <c r="H101" s="57">
        <v>5.8</v>
      </c>
      <c r="I101" s="57">
        <v>0.9</v>
      </c>
      <c r="J101" s="57">
        <v>63.8</v>
      </c>
      <c r="K101" s="57">
        <v>0.6</v>
      </c>
      <c r="L101" s="57">
        <v>38.4</v>
      </c>
      <c r="M101" s="57">
        <v>0.8</v>
      </c>
      <c r="N101" s="17" t="s">
        <v>337</v>
      </c>
    </row>
    <row r="102" spans="1:14" ht="20.100000000000001" customHeight="1">
      <c r="A102" s="163"/>
      <c r="B102" s="19">
        <v>0</v>
      </c>
      <c r="C102" s="45" t="s">
        <v>174</v>
      </c>
      <c r="D102" s="30"/>
      <c r="E102" s="67" t="s">
        <v>381</v>
      </c>
      <c r="F102" s="42">
        <f>20+30+163.3</f>
        <v>213.3</v>
      </c>
      <c r="G102" s="42">
        <f>4.8+7.2+39.2</f>
        <v>51.2</v>
      </c>
      <c r="H102" s="42">
        <v>0.6</v>
      </c>
      <c r="I102" s="42">
        <v>0</v>
      </c>
      <c r="J102" s="42">
        <f>0.3+1.4+7.1</f>
        <v>8.7999999999999989</v>
      </c>
      <c r="K102" s="42">
        <f>0.3+1.4</f>
        <v>1.7</v>
      </c>
      <c r="L102" s="42">
        <f>0.7+0.4+1.5</f>
        <v>2.6</v>
      </c>
      <c r="M102" s="42">
        <v>0.1</v>
      </c>
      <c r="N102" s="16" t="s">
        <v>337</v>
      </c>
    </row>
    <row r="103" spans="1:14" ht="20.100000000000001" customHeight="1">
      <c r="A103" s="163"/>
      <c r="B103" s="28">
        <v>0</v>
      </c>
      <c r="C103" s="38" t="str">
        <f>$C$10</f>
        <v>Sobremesa</v>
      </c>
      <c r="D103" s="30"/>
      <c r="E103" s="67" t="s">
        <v>402</v>
      </c>
      <c r="F103" s="42" t="s">
        <v>621</v>
      </c>
      <c r="G103" s="58" t="s">
        <v>622</v>
      </c>
      <c r="H103" s="58" t="s">
        <v>623</v>
      </c>
      <c r="I103" s="58" t="s">
        <v>624</v>
      </c>
      <c r="J103" s="58" t="s">
        <v>625</v>
      </c>
      <c r="K103" s="58" t="s">
        <v>626</v>
      </c>
      <c r="L103" s="58" t="s">
        <v>627</v>
      </c>
      <c r="M103" s="58" t="s">
        <v>628</v>
      </c>
      <c r="N103" s="17" t="s">
        <v>337</v>
      </c>
    </row>
    <row r="104" spans="1:14" ht="20.100000000000001" customHeight="1">
      <c r="A104" s="163"/>
      <c r="B104" s="19">
        <v>0</v>
      </c>
      <c r="C104" s="38" t="str">
        <f>$C$11</f>
        <v>Pão</v>
      </c>
      <c r="D104" s="30"/>
      <c r="E104" s="68" t="s">
        <v>297</v>
      </c>
      <c r="F104" s="156" t="s">
        <v>377</v>
      </c>
      <c r="G104" s="157"/>
      <c r="H104" s="157"/>
      <c r="I104" s="157"/>
      <c r="J104" s="157"/>
      <c r="K104" s="157"/>
      <c r="L104" s="157"/>
      <c r="M104" s="158"/>
      <c r="N104" s="16"/>
    </row>
    <row r="105" spans="1:14" ht="20.100000000000001" customHeight="1">
      <c r="A105" s="32"/>
      <c r="B105" s="28">
        <v>0</v>
      </c>
      <c r="C105" s="33"/>
      <c r="D105" s="30"/>
      <c r="E105" s="69"/>
      <c r="F105" s="34"/>
      <c r="G105" s="34"/>
      <c r="H105" s="34"/>
      <c r="I105" s="34"/>
      <c r="J105" s="34"/>
      <c r="K105" s="34"/>
      <c r="L105" s="34"/>
      <c r="M105" s="34"/>
      <c r="N105" s="4"/>
    </row>
    <row r="106" spans="1:14" ht="20.100000000000001" customHeight="1" thickBot="1">
      <c r="A106" s="35"/>
      <c r="B106" s="19">
        <v>0</v>
      </c>
      <c r="C106" s="36"/>
      <c r="D106" s="30"/>
      <c r="E106" s="66"/>
      <c r="F106" s="41" t="s">
        <v>370</v>
      </c>
      <c r="G106" s="41" t="s">
        <v>371</v>
      </c>
      <c r="H106" s="41" t="s">
        <v>372</v>
      </c>
      <c r="I106" s="41" t="s">
        <v>373</v>
      </c>
      <c r="J106" s="41" t="s">
        <v>374</v>
      </c>
      <c r="K106" s="41" t="s">
        <v>602</v>
      </c>
      <c r="L106" s="41" t="s">
        <v>603</v>
      </c>
      <c r="M106" s="41" t="s">
        <v>376</v>
      </c>
      <c r="N106" s="13"/>
    </row>
    <row r="107" spans="1:14" ht="20.100000000000001" customHeight="1" thickTop="1">
      <c r="A107" s="159" t="s">
        <v>296</v>
      </c>
      <c r="B107" s="28">
        <v>0</v>
      </c>
      <c r="C107" s="37" t="str">
        <f>$C$7</f>
        <v>Sopa</v>
      </c>
      <c r="D107" s="30"/>
      <c r="E107" s="67" t="s">
        <v>404</v>
      </c>
      <c r="F107" s="42">
        <v>909.5</v>
      </c>
      <c r="G107" s="42">
        <v>217.6</v>
      </c>
      <c r="H107" s="42">
        <v>3.8</v>
      </c>
      <c r="I107" s="42">
        <v>0.6</v>
      </c>
      <c r="J107" s="42">
        <v>33</v>
      </c>
      <c r="K107" s="42">
        <v>5.3</v>
      </c>
      <c r="L107" s="42">
        <v>12.1</v>
      </c>
      <c r="M107" s="42">
        <v>0.2</v>
      </c>
      <c r="N107" s="17" t="s">
        <v>337</v>
      </c>
    </row>
    <row r="108" spans="1:14" ht="22.5" customHeight="1">
      <c r="A108" s="163"/>
      <c r="B108" s="19">
        <v>0</v>
      </c>
      <c r="C108" s="45" t="s">
        <v>290</v>
      </c>
      <c r="D108" s="30"/>
      <c r="E108" s="68" t="s">
        <v>203</v>
      </c>
      <c r="F108" s="57">
        <f>1272.6+1120</f>
        <v>2392.6</v>
      </c>
      <c r="G108" s="57">
        <f>304.1+267.7</f>
        <v>571.79999999999995</v>
      </c>
      <c r="H108" s="57">
        <f>15.5+3</f>
        <v>18.5</v>
      </c>
      <c r="I108" s="57">
        <f>5.6+0.4</f>
        <v>6</v>
      </c>
      <c r="J108" s="57">
        <f>6.4+51.8</f>
        <v>58.199999999999996</v>
      </c>
      <c r="K108" s="57">
        <f>3.3+3.2</f>
        <v>6.5</v>
      </c>
      <c r="L108" s="57">
        <f>35+6.8</f>
        <v>41.8</v>
      </c>
      <c r="M108" s="57">
        <v>0.5</v>
      </c>
      <c r="N108" s="17" t="s">
        <v>337</v>
      </c>
    </row>
    <row r="109" spans="1:14" ht="20.100000000000001" customHeight="1">
      <c r="A109" s="163"/>
      <c r="B109" s="28">
        <v>0</v>
      </c>
      <c r="C109" s="45" t="s">
        <v>174</v>
      </c>
      <c r="D109" s="30"/>
      <c r="E109" s="68" t="s">
        <v>407</v>
      </c>
      <c r="F109" s="42">
        <f>32.4+28.5+25.6</f>
        <v>86.5</v>
      </c>
      <c r="G109" s="42">
        <f>7.7+6.8+6.1</f>
        <v>20.6</v>
      </c>
      <c r="H109" s="42">
        <v>0.2</v>
      </c>
      <c r="I109" s="42">
        <v>0</v>
      </c>
      <c r="J109" s="42">
        <f>1.8+1.2+0.6</f>
        <v>3.6</v>
      </c>
      <c r="K109" s="42">
        <f>1.6+1+0.6</f>
        <v>3.2</v>
      </c>
      <c r="L109" s="42">
        <f>1.9+0.6+0.5</f>
        <v>3</v>
      </c>
      <c r="M109" s="42">
        <v>0.1</v>
      </c>
      <c r="N109" s="16" t="s">
        <v>337</v>
      </c>
    </row>
    <row r="110" spans="1:14" ht="20.100000000000001" customHeight="1">
      <c r="A110" s="163"/>
      <c r="B110" s="19">
        <v>0</v>
      </c>
      <c r="C110" s="38" t="str">
        <f>$C$10</f>
        <v>Sobremesa</v>
      </c>
      <c r="D110" s="30"/>
      <c r="E110" s="68" t="s">
        <v>298</v>
      </c>
      <c r="F110" s="42">
        <v>319.7</v>
      </c>
      <c r="G110" s="58">
        <v>76.400000000000006</v>
      </c>
      <c r="H110" s="58">
        <v>0.5</v>
      </c>
      <c r="I110" s="58">
        <v>0.2</v>
      </c>
      <c r="J110" s="58">
        <v>16.899999999999999</v>
      </c>
      <c r="K110" s="58">
        <v>16.7</v>
      </c>
      <c r="L110" s="58">
        <v>1.1000000000000001</v>
      </c>
      <c r="M110" s="58">
        <v>0</v>
      </c>
      <c r="N110" s="17" t="s">
        <v>337</v>
      </c>
    </row>
    <row r="111" spans="1:14" ht="20.100000000000001" customHeight="1">
      <c r="A111" s="163"/>
      <c r="B111" s="28">
        <v>0</v>
      </c>
      <c r="C111" s="38" t="str">
        <f>$C$11</f>
        <v>Pão</v>
      </c>
      <c r="D111" s="30"/>
      <c r="E111" s="68" t="s">
        <v>297</v>
      </c>
      <c r="F111" s="156" t="s">
        <v>380</v>
      </c>
      <c r="G111" s="157"/>
      <c r="H111" s="157"/>
      <c r="I111" s="157"/>
      <c r="J111" s="157"/>
      <c r="K111" s="157"/>
      <c r="L111" s="157"/>
      <c r="M111" s="158"/>
      <c r="N111" s="16"/>
    </row>
    <row r="112" spans="1:14" ht="123" customHeight="1">
      <c r="A112" s="167" t="str">
        <f>+A$40</f>
        <v xml:space="preserve">
A sua refeição contém ou pode conter as seguintes substâncias ou produtos e seus derivados: 1Cereais que contêm glúten, 2Crustáceos , 3Ovos, 4Peixes, 5Amendoins, 6Soja, 7Leite, 8Frutos de casca rija, 9Aipo, 10Mostarda, 11Sementes de sésamo, 12Dióxido de enxofre e sulfitos, 13Tremoço, 14Moluscos. 
Para quem não é alérgico ou intolerante, estas substâncias ou produtos são completamente inofensivas. 
Caso necessite informação adicional sobre os produtos em causa deve solicitar aos funcionários.
Declaração nutricional: valores médios de 100 g ou 100 ml, calculados a partir dos valores médios conhecidos dos ingredientes utilizados, segundo o Instituto Nacional de Saúde Dr. Ricardo Jorge, Tabela da Composição de Alimentos (2007), e a informação disponibilizada pelos fornecedores.
Legenda: VE - Valor energético, Líp. - Lípidos, AG Sat. - Ácidos Gordos Saturados, HC - Hidratos de Carbono, Prot. - Proteínas.
</v>
      </c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5"/>
    </row>
    <row r="113" spans="1:14" ht="39.950000000000003" customHeight="1">
      <c r="B113" s="28">
        <v>0</v>
      </c>
      <c r="C113" s="61" t="s">
        <v>386</v>
      </c>
      <c r="D113" s="26"/>
      <c r="E113" s="70" t="s">
        <v>182</v>
      </c>
      <c r="F113" s="41"/>
      <c r="G113" s="41"/>
      <c r="H113" s="41"/>
      <c r="I113" s="41"/>
      <c r="J113" s="41"/>
      <c r="K113" s="41"/>
      <c r="L113" s="41"/>
      <c r="M113" s="41"/>
      <c r="N113" s="1"/>
    </row>
    <row r="114" spans="1:14" ht="20.100000000000001" customHeight="1" thickBot="1">
      <c r="B114" s="19">
        <v>0</v>
      </c>
      <c r="E114" s="66"/>
      <c r="F114" s="41" t="s">
        <v>370</v>
      </c>
      <c r="G114" s="41" t="s">
        <v>371</v>
      </c>
      <c r="H114" s="41" t="s">
        <v>372</v>
      </c>
      <c r="I114" s="41" t="s">
        <v>373</v>
      </c>
      <c r="J114" s="41" t="s">
        <v>374</v>
      </c>
      <c r="K114" s="41" t="s">
        <v>602</v>
      </c>
      <c r="L114" s="41" t="s">
        <v>603</v>
      </c>
      <c r="M114" s="41" t="s">
        <v>376</v>
      </c>
      <c r="N114" s="3"/>
    </row>
    <row r="115" spans="1:14" ht="20.100000000000001" customHeight="1" thickTop="1">
      <c r="A115" s="159" t="s">
        <v>288</v>
      </c>
      <c r="B115" s="28">
        <v>0</v>
      </c>
      <c r="C115" s="29" t="s">
        <v>289</v>
      </c>
      <c r="D115" s="30"/>
      <c r="E115" s="67" t="s">
        <v>303</v>
      </c>
      <c r="F115" s="42">
        <v>509.8</v>
      </c>
      <c r="G115" s="42">
        <v>121.9</v>
      </c>
      <c r="H115" s="42">
        <v>3.6</v>
      </c>
      <c r="I115" s="42">
        <v>6.4</v>
      </c>
      <c r="J115" s="42">
        <v>18.100000000000001</v>
      </c>
      <c r="K115" s="42">
        <v>5</v>
      </c>
      <c r="L115" s="42">
        <v>4.5</v>
      </c>
      <c r="M115" s="42">
        <v>0.1</v>
      </c>
      <c r="N115" s="17" t="s">
        <v>337</v>
      </c>
    </row>
    <row r="116" spans="1:14" ht="44.25" customHeight="1">
      <c r="A116" s="163"/>
      <c r="B116" s="19">
        <v>0</v>
      </c>
      <c r="C116" s="45" t="s">
        <v>290</v>
      </c>
      <c r="D116" s="30"/>
      <c r="E116" s="67" t="s">
        <v>411</v>
      </c>
      <c r="F116" s="42">
        <v>2358.1999999999998</v>
      </c>
      <c r="G116" s="42">
        <v>563.6</v>
      </c>
      <c r="H116" s="42">
        <v>16.600000000000001</v>
      </c>
      <c r="I116" s="42">
        <v>1.5</v>
      </c>
      <c r="J116" s="42">
        <v>68.8</v>
      </c>
      <c r="K116" s="42">
        <v>3.3</v>
      </c>
      <c r="L116" s="42">
        <v>32.799999999999997</v>
      </c>
      <c r="M116" s="42">
        <v>1.3</v>
      </c>
      <c r="N116" s="17" t="s">
        <v>337</v>
      </c>
    </row>
    <row r="117" spans="1:14" ht="20.100000000000001" customHeight="1">
      <c r="A117" s="163"/>
      <c r="B117" s="28">
        <v>0</v>
      </c>
      <c r="C117" s="45" t="s">
        <v>174</v>
      </c>
      <c r="D117" s="30"/>
      <c r="E117" s="67" t="s">
        <v>379</v>
      </c>
      <c r="F117" s="42">
        <f>20+28.5+25.6</f>
        <v>74.099999999999994</v>
      </c>
      <c r="G117" s="42">
        <f>4.8+6.8+6.1</f>
        <v>17.7</v>
      </c>
      <c r="H117" s="42">
        <v>0.3</v>
      </c>
      <c r="I117" s="42">
        <v>0</v>
      </c>
      <c r="J117" s="42">
        <f>0.3+1.2+0.6</f>
        <v>2.1</v>
      </c>
      <c r="K117" s="42">
        <f>0.3+1+0.6</f>
        <v>1.9</v>
      </c>
      <c r="L117" s="42">
        <f>0.7+0.6+0.5</f>
        <v>1.7999999999999998</v>
      </c>
      <c r="M117" s="42">
        <v>0</v>
      </c>
      <c r="N117" s="16" t="s">
        <v>337</v>
      </c>
    </row>
    <row r="118" spans="1:14" ht="20.100000000000001" customHeight="1">
      <c r="A118" s="163"/>
      <c r="B118" s="19">
        <v>0</v>
      </c>
      <c r="C118" s="31" t="s">
        <v>291</v>
      </c>
      <c r="D118" s="30"/>
      <c r="E118" s="67" t="s">
        <v>415</v>
      </c>
      <c r="F118" s="42" t="s">
        <v>621</v>
      </c>
      <c r="G118" s="58" t="s">
        <v>622</v>
      </c>
      <c r="H118" s="58" t="s">
        <v>623</v>
      </c>
      <c r="I118" s="58" t="s">
        <v>624</v>
      </c>
      <c r="J118" s="58" t="s">
        <v>625</v>
      </c>
      <c r="K118" s="58" t="s">
        <v>626</v>
      </c>
      <c r="L118" s="58" t="s">
        <v>627</v>
      </c>
      <c r="M118" s="58" t="s">
        <v>628</v>
      </c>
      <c r="N118" s="17" t="s">
        <v>337</v>
      </c>
    </row>
    <row r="119" spans="1:14" ht="20.100000000000001" customHeight="1">
      <c r="A119" s="163"/>
      <c r="B119" s="28">
        <v>0</v>
      </c>
      <c r="C119" s="31" t="s">
        <v>292</v>
      </c>
      <c r="D119" s="30"/>
      <c r="E119" s="68" t="s">
        <v>297</v>
      </c>
      <c r="F119" s="156" t="s">
        <v>377</v>
      </c>
      <c r="G119" s="157"/>
      <c r="H119" s="157"/>
      <c r="I119" s="157"/>
      <c r="J119" s="157"/>
      <c r="K119" s="157"/>
      <c r="L119" s="157"/>
      <c r="M119" s="158"/>
      <c r="N119" s="16"/>
    </row>
    <row r="120" spans="1:14" ht="20.100000000000001" customHeight="1">
      <c r="A120" s="32"/>
      <c r="B120" s="19">
        <v>0</v>
      </c>
      <c r="C120" s="33"/>
      <c r="D120" s="30"/>
      <c r="E120" s="69"/>
      <c r="F120" s="34"/>
      <c r="G120" s="34"/>
      <c r="H120" s="34"/>
      <c r="I120" s="34"/>
      <c r="J120" s="34"/>
      <c r="K120" s="34"/>
      <c r="L120" s="34"/>
      <c r="M120" s="34"/>
      <c r="N120" s="4"/>
    </row>
    <row r="121" spans="1:14" ht="20.100000000000001" customHeight="1" thickBot="1">
      <c r="A121" s="35"/>
      <c r="B121" s="28">
        <v>0</v>
      </c>
      <c r="C121" s="36"/>
      <c r="D121" s="30"/>
      <c r="E121" s="66"/>
      <c r="F121" s="41" t="s">
        <v>370</v>
      </c>
      <c r="G121" s="41" t="s">
        <v>371</v>
      </c>
      <c r="H121" s="41" t="s">
        <v>372</v>
      </c>
      <c r="I121" s="41" t="s">
        <v>373</v>
      </c>
      <c r="J121" s="41" t="s">
        <v>374</v>
      </c>
      <c r="K121" s="41" t="s">
        <v>602</v>
      </c>
      <c r="L121" s="41" t="s">
        <v>603</v>
      </c>
      <c r="M121" s="41" t="s">
        <v>376</v>
      </c>
      <c r="N121" s="13"/>
    </row>
    <row r="122" spans="1:14" ht="20.100000000000001" customHeight="1" thickTop="1">
      <c r="A122" s="159" t="s">
        <v>293</v>
      </c>
      <c r="B122" s="19">
        <v>0</v>
      </c>
      <c r="C122" s="37" t="str">
        <f>$C$7</f>
        <v>Sopa</v>
      </c>
      <c r="D122" s="30"/>
      <c r="E122" s="67" t="s">
        <v>204</v>
      </c>
      <c r="F122" s="42">
        <v>983.7</v>
      </c>
      <c r="G122" s="42">
        <v>235.1</v>
      </c>
      <c r="H122" s="42">
        <v>5.4</v>
      </c>
      <c r="I122" s="42">
        <v>0.7</v>
      </c>
      <c r="J122" s="42">
        <v>35.200000000000003</v>
      </c>
      <c r="K122" s="42">
        <v>4.5</v>
      </c>
      <c r="L122" s="42">
        <v>10.6</v>
      </c>
      <c r="M122" s="42">
        <v>0.3</v>
      </c>
      <c r="N122" s="17" t="s">
        <v>337</v>
      </c>
    </row>
    <row r="123" spans="1:14" ht="18" customHeight="1">
      <c r="A123" s="163"/>
      <c r="B123" s="28">
        <v>0</v>
      </c>
      <c r="C123" s="45" t="s">
        <v>290</v>
      </c>
      <c r="D123" s="30"/>
      <c r="E123" s="68" t="s">
        <v>244</v>
      </c>
      <c r="F123" s="42">
        <v>2110.4</v>
      </c>
      <c r="G123" s="42">
        <v>504.4</v>
      </c>
      <c r="H123" s="42">
        <v>20.5</v>
      </c>
      <c r="I123" s="42">
        <v>4.0999999999999996</v>
      </c>
      <c r="J123" s="42">
        <v>38.4</v>
      </c>
      <c r="K123" s="42">
        <v>2.4</v>
      </c>
      <c r="L123" s="42">
        <v>40.5</v>
      </c>
      <c r="M123" s="42">
        <v>0.4</v>
      </c>
      <c r="N123" s="17" t="s">
        <v>337</v>
      </c>
    </row>
    <row r="124" spans="1:14" ht="20.100000000000001" customHeight="1">
      <c r="A124" s="163"/>
      <c r="B124" s="19">
        <v>0</v>
      </c>
      <c r="C124" s="45" t="s">
        <v>174</v>
      </c>
      <c r="D124" s="30"/>
      <c r="E124" s="68" t="s">
        <v>406</v>
      </c>
      <c r="F124" s="42">
        <f>20+163.3+40</f>
        <v>223.3</v>
      </c>
      <c r="G124" s="42">
        <f>4.8+39.2+9.6</f>
        <v>53.6</v>
      </c>
      <c r="H124" s="42">
        <v>0.8</v>
      </c>
      <c r="I124" s="42">
        <v>0</v>
      </c>
      <c r="J124" s="42">
        <f>0.3+7.1+1.8</f>
        <v>9.1999999999999993</v>
      </c>
      <c r="K124" s="42">
        <f>0.3+1.8</f>
        <v>2.1</v>
      </c>
      <c r="L124" s="42">
        <f>0.7+1.5+0.4</f>
        <v>2.6</v>
      </c>
      <c r="M124" s="42">
        <v>0</v>
      </c>
      <c r="N124" s="16" t="s">
        <v>337</v>
      </c>
    </row>
    <row r="125" spans="1:14" ht="20.100000000000001" customHeight="1">
      <c r="A125" s="163"/>
      <c r="B125" s="28">
        <v>0</v>
      </c>
      <c r="C125" s="38" t="str">
        <f>$C$10</f>
        <v>Sobremesa</v>
      </c>
      <c r="D125" s="30"/>
      <c r="E125" s="68" t="s">
        <v>310</v>
      </c>
      <c r="F125" s="42">
        <v>319.7</v>
      </c>
      <c r="G125" s="58">
        <v>76.400000000000006</v>
      </c>
      <c r="H125" s="58">
        <v>0.5</v>
      </c>
      <c r="I125" s="58">
        <v>0.2</v>
      </c>
      <c r="J125" s="58">
        <v>16.899999999999999</v>
      </c>
      <c r="K125" s="58">
        <v>16.7</v>
      </c>
      <c r="L125" s="58">
        <v>1.1000000000000001</v>
      </c>
      <c r="M125" s="58">
        <v>0</v>
      </c>
      <c r="N125" s="17" t="s">
        <v>337</v>
      </c>
    </row>
    <row r="126" spans="1:14" ht="20.100000000000001" customHeight="1">
      <c r="A126" s="163"/>
      <c r="B126" s="19">
        <v>0</v>
      </c>
      <c r="C126" s="38" t="str">
        <f>$C$11</f>
        <v>Pão</v>
      </c>
      <c r="D126" s="30"/>
      <c r="E126" s="68" t="s">
        <v>297</v>
      </c>
      <c r="F126" s="156" t="s">
        <v>377</v>
      </c>
      <c r="G126" s="157"/>
      <c r="H126" s="157"/>
      <c r="I126" s="157"/>
      <c r="J126" s="157"/>
      <c r="K126" s="157"/>
      <c r="L126" s="157"/>
      <c r="M126" s="158"/>
      <c r="N126" s="16"/>
    </row>
    <row r="127" spans="1:14" ht="20.100000000000001" customHeight="1">
      <c r="A127" s="32"/>
      <c r="B127" s="28">
        <v>0</v>
      </c>
      <c r="C127" s="33"/>
      <c r="D127" s="30"/>
      <c r="E127" s="69"/>
      <c r="F127" s="34"/>
      <c r="G127" s="34"/>
      <c r="H127" s="34"/>
      <c r="I127" s="34"/>
      <c r="J127" s="34"/>
      <c r="K127" s="34"/>
      <c r="L127" s="34"/>
      <c r="M127" s="34"/>
      <c r="N127" s="4"/>
    </row>
    <row r="128" spans="1:14" ht="20.100000000000001" customHeight="1" thickBot="1">
      <c r="A128" s="35"/>
      <c r="B128" s="19">
        <v>0</v>
      </c>
      <c r="C128" s="36"/>
      <c r="D128" s="30"/>
      <c r="E128" s="66"/>
      <c r="F128" s="41" t="s">
        <v>370</v>
      </c>
      <c r="G128" s="41" t="s">
        <v>371</v>
      </c>
      <c r="H128" s="41" t="s">
        <v>372</v>
      </c>
      <c r="I128" s="41" t="s">
        <v>373</v>
      </c>
      <c r="J128" s="41" t="s">
        <v>374</v>
      </c>
      <c r="K128" s="41" t="s">
        <v>602</v>
      </c>
      <c r="L128" s="41" t="s">
        <v>603</v>
      </c>
      <c r="M128" s="41" t="s">
        <v>376</v>
      </c>
      <c r="N128" s="13"/>
    </row>
    <row r="129" spans="1:14" ht="20.100000000000001" customHeight="1" thickTop="1">
      <c r="A129" s="159" t="s">
        <v>294</v>
      </c>
      <c r="B129" s="28">
        <v>0</v>
      </c>
      <c r="C129" s="37" t="str">
        <f>$C$7</f>
        <v>Sopa</v>
      </c>
      <c r="D129" s="30"/>
      <c r="E129" s="67" t="s">
        <v>304</v>
      </c>
      <c r="F129" s="42">
        <v>907.6</v>
      </c>
      <c r="G129" s="42">
        <v>216.9</v>
      </c>
      <c r="H129" s="42">
        <v>3.8</v>
      </c>
      <c r="I129" s="42">
        <v>0.6</v>
      </c>
      <c r="J129" s="42">
        <v>33.299999999999997</v>
      </c>
      <c r="K129" s="42">
        <v>6.1</v>
      </c>
      <c r="L129" s="42">
        <v>11.7</v>
      </c>
      <c r="M129" s="42">
        <v>0.2</v>
      </c>
      <c r="N129" s="17" t="s">
        <v>337</v>
      </c>
    </row>
    <row r="130" spans="1:14" ht="20.100000000000001" customHeight="1">
      <c r="A130" s="163"/>
      <c r="B130" s="19">
        <v>0</v>
      </c>
      <c r="C130" s="45" t="s">
        <v>290</v>
      </c>
      <c r="D130" s="30"/>
      <c r="E130" s="67" t="s">
        <v>409</v>
      </c>
      <c r="F130" s="57">
        <v>2023.4</v>
      </c>
      <c r="G130" s="57">
        <v>483.6</v>
      </c>
      <c r="H130" s="57">
        <v>5.5</v>
      </c>
      <c r="I130" s="57">
        <v>1</v>
      </c>
      <c r="J130" s="57">
        <v>63.1</v>
      </c>
      <c r="K130" s="57">
        <v>0.6</v>
      </c>
      <c r="L130" s="57">
        <v>43.5</v>
      </c>
      <c r="M130" s="57">
        <v>1.3</v>
      </c>
      <c r="N130" s="17" t="s">
        <v>337</v>
      </c>
    </row>
    <row r="131" spans="1:14" ht="20.100000000000001" customHeight="1">
      <c r="A131" s="163"/>
      <c r="B131" s="28">
        <v>0</v>
      </c>
      <c r="C131" s="45" t="s">
        <v>174</v>
      </c>
      <c r="D131" s="30"/>
      <c r="E131" s="67" t="s">
        <v>381</v>
      </c>
      <c r="F131" s="42">
        <f>20+30+163.3</f>
        <v>213.3</v>
      </c>
      <c r="G131" s="42">
        <f>4.8+7.2+39.2</f>
        <v>51.2</v>
      </c>
      <c r="H131" s="42">
        <v>0.6</v>
      </c>
      <c r="I131" s="42">
        <v>0</v>
      </c>
      <c r="J131" s="42">
        <f>0.3+1.4+7.1</f>
        <v>8.7999999999999989</v>
      </c>
      <c r="K131" s="42">
        <f>0.3+1.4</f>
        <v>1.7</v>
      </c>
      <c r="L131" s="42">
        <f>0.7+0.4+1.5</f>
        <v>2.6</v>
      </c>
      <c r="M131" s="42">
        <v>0.1</v>
      </c>
      <c r="N131" s="16" t="s">
        <v>337</v>
      </c>
    </row>
    <row r="132" spans="1:14" ht="35.25" customHeight="1">
      <c r="A132" s="163"/>
      <c r="B132" s="19">
        <v>0</v>
      </c>
      <c r="C132" s="38" t="str">
        <f>$C$10</f>
        <v>Sobremesa</v>
      </c>
      <c r="D132" s="30"/>
      <c r="E132" s="67" t="s">
        <v>416</v>
      </c>
      <c r="F132" s="57" t="s">
        <v>657</v>
      </c>
      <c r="G132" s="57" t="s">
        <v>658</v>
      </c>
      <c r="H132" s="57" t="s">
        <v>659</v>
      </c>
      <c r="I132" s="57" t="s">
        <v>660</v>
      </c>
      <c r="J132" s="57" t="s">
        <v>661</v>
      </c>
      <c r="K132" s="57" t="s">
        <v>662</v>
      </c>
      <c r="L132" s="57" t="s">
        <v>663</v>
      </c>
      <c r="M132" s="57" t="s">
        <v>664</v>
      </c>
      <c r="N132" s="17" t="s">
        <v>337</v>
      </c>
    </row>
    <row r="133" spans="1:14" ht="20.100000000000001" customHeight="1">
      <c r="A133" s="163"/>
      <c r="B133" s="28">
        <v>0</v>
      </c>
      <c r="C133" s="38" t="str">
        <f>$C$11</f>
        <v>Pão</v>
      </c>
      <c r="D133" s="30"/>
      <c r="E133" s="68" t="s">
        <v>297</v>
      </c>
      <c r="F133" s="156" t="s">
        <v>377</v>
      </c>
      <c r="G133" s="157"/>
      <c r="H133" s="157"/>
      <c r="I133" s="157"/>
      <c r="J133" s="157"/>
      <c r="K133" s="157"/>
      <c r="L133" s="157"/>
      <c r="M133" s="158"/>
      <c r="N133" s="16"/>
    </row>
    <row r="134" spans="1:14" ht="20.100000000000001" customHeight="1">
      <c r="A134" s="32"/>
      <c r="B134" s="19">
        <v>0</v>
      </c>
      <c r="C134" s="33"/>
      <c r="D134" s="30"/>
      <c r="E134" s="69"/>
      <c r="F134" s="34"/>
      <c r="G134" s="34"/>
      <c r="H134" s="34"/>
      <c r="I134" s="34"/>
      <c r="J134" s="34"/>
      <c r="K134" s="34"/>
      <c r="L134" s="34"/>
      <c r="M134" s="34"/>
      <c r="N134" s="4"/>
    </row>
    <row r="135" spans="1:14" ht="20.100000000000001" customHeight="1" thickBot="1">
      <c r="A135" s="35"/>
      <c r="B135" s="28">
        <v>0</v>
      </c>
      <c r="C135" s="36"/>
      <c r="D135" s="30"/>
      <c r="E135" s="66"/>
      <c r="F135" s="41" t="s">
        <v>370</v>
      </c>
      <c r="G135" s="41" t="s">
        <v>371</v>
      </c>
      <c r="H135" s="41" t="s">
        <v>372</v>
      </c>
      <c r="I135" s="41" t="s">
        <v>373</v>
      </c>
      <c r="J135" s="41" t="s">
        <v>374</v>
      </c>
      <c r="K135" s="41" t="s">
        <v>602</v>
      </c>
      <c r="L135" s="41" t="s">
        <v>603</v>
      </c>
      <c r="M135" s="41" t="s">
        <v>376</v>
      </c>
      <c r="N135" s="2"/>
    </row>
    <row r="136" spans="1:14" ht="20.100000000000001" customHeight="1" thickTop="1">
      <c r="A136" s="159" t="s">
        <v>295</v>
      </c>
      <c r="B136" s="19">
        <v>0</v>
      </c>
      <c r="C136" s="37" t="str">
        <f>$C$7</f>
        <v>Sopa</v>
      </c>
      <c r="D136" s="30"/>
      <c r="E136" s="67" t="s">
        <v>205</v>
      </c>
      <c r="F136" s="42">
        <v>454.4</v>
      </c>
      <c r="G136" s="42">
        <v>108.6</v>
      </c>
      <c r="H136" s="42">
        <v>3.2</v>
      </c>
      <c r="I136" s="42">
        <v>0.4</v>
      </c>
      <c r="J136" s="42">
        <v>16.2</v>
      </c>
      <c r="K136" s="42">
        <v>4.8</v>
      </c>
      <c r="L136" s="42">
        <v>3.6</v>
      </c>
      <c r="M136" s="42">
        <v>0.2</v>
      </c>
      <c r="N136" s="17" t="s">
        <v>337</v>
      </c>
    </row>
    <row r="137" spans="1:14" ht="18" customHeight="1">
      <c r="A137" s="163"/>
      <c r="B137" s="28">
        <v>0</v>
      </c>
      <c r="C137" s="45" t="s">
        <v>290</v>
      </c>
      <c r="D137" s="30"/>
      <c r="E137" s="67" t="s">
        <v>412</v>
      </c>
      <c r="F137" s="57">
        <f>970.2+1198.4</f>
        <v>2168.6000000000004</v>
      </c>
      <c r="G137" s="57">
        <f>231.9+286.4</f>
        <v>518.29999999999995</v>
      </c>
      <c r="H137" s="57">
        <f>2.9+1.5</f>
        <v>4.4000000000000004</v>
      </c>
      <c r="I137" s="57">
        <v>1</v>
      </c>
      <c r="J137" s="57">
        <v>56.9</v>
      </c>
      <c r="K137" s="57">
        <v>2.5</v>
      </c>
      <c r="L137" s="57">
        <f>51.5+9.7</f>
        <v>61.2</v>
      </c>
      <c r="M137" s="57">
        <v>0.5</v>
      </c>
      <c r="N137" s="17" t="s">
        <v>337</v>
      </c>
    </row>
    <row r="138" spans="1:14" ht="20.100000000000001" customHeight="1">
      <c r="A138" s="163"/>
      <c r="B138" s="19">
        <v>0</v>
      </c>
      <c r="C138" s="45" t="s">
        <v>174</v>
      </c>
      <c r="D138" s="30"/>
      <c r="E138" s="67" t="s">
        <v>414</v>
      </c>
      <c r="F138" s="42">
        <f>20+32.4+28.5</f>
        <v>80.900000000000006</v>
      </c>
      <c r="G138" s="42">
        <f>4.8+7.7+6.8</f>
        <v>19.3</v>
      </c>
      <c r="H138" s="42">
        <v>0.1</v>
      </c>
      <c r="I138" s="42">
        <v>0</v>
      </c>
      <c r="J138" s="42">
        <f>0.3+1.8+1.2</f>
        <v>3.3</v>
      </c>
      <c r="K138" s="42">
        <f>7.3+1.6+1</f>
        <v>9.9</v>
      </c>
      <c r="L138" s="42">
        <f>0.7+0.2+0.6</f>
        <v>1.5</v>
      </c>
      <c r="M138" s="42">
        <v>0.1</v>
      </c>
      <c r="N138" s="16" t="s">
        <v>337</v>
      </c>
    </row>
    <row r="139" spans="1:14" ht="20.100000000000001" customHeight="1">
      <c r="A139" s="163"/>
      <c r="B139" s="28">
        <v>0</v>
      </c>
      <c r="C139" s="38" t="str">
        <f>$C$10</f>
        <v>Sobremesa</v>
      </c>
      <c r="D139" s="30"/>
      <c r="E139" s="67" t="s">
        <v>310</v>
      </c>
      <c r="F139" s="42">
        <v>319.7</v>
      </c>
      <c r="G139" s="58">
        <v>76.400000000000006</v>
      </c>
      <c r="H139" s="58">
        <v>0.5</v>
      </c>
      <c r="I139" s="58">
        <v>0.2</v>
      </c>
      <c r="J139" s="58">
        <v>16.899999999999999</v>
      </c>
      <c r="K139" s="58">
        <v>16.7</v>
      </c>
      <c r="L139" s="58">
        <v>1.1000000000000001</v>
      </c>
      <c r="M139" s="58">
        <v>0</v>
      </c>
      <c r="N139" s="17" t="s">
        <v>337</v>
      </c>
    </row>
    <row r="140" spans="1:14" ht="20.100000000000001" customHeight="1">
      <c r="A140" s="163"/>
      <c r="B140" s="19">
        <v>0</v>
      </c>
      <c r="C140" s="38" t="str">
        <f>$C$11</f>
        <v>Pão</v>
      </c>
      <c r="D140" s="30"/>
      <c r="E140" s="67" t="s">
        <v>297</v>
      </c>
      <c r="F140" s="156" t="s">
        <v>377</v>
      </c>
      <c r="G140" s="157"/>
      <c r="H140" s="157"/>
      <c r="I140" s="157"/>
      <c r="J140" s="157"/>
      <c r="K140" s="157"/>
      <c r="L140" s="157"/>
      <c r="M140" s="158"/>
      <c r="N140" s="16"/>
    </row>
    <row r="141" spans="1:14" ht="20.100000000000001" customHeight="1">
      <c r="A141" s="32"/>
      <c r="B141" s="28">
        <v>0</v>
      </c>
      <c r="C141" s="33"/>
      <c r="D141" s="30"/>
      <c r="E141" s="69"/>
      <c r="F141" s="34"/>
      <c r="G141" s="34"/>
      <c r="H141" s="34"/>
      <c r="I141" s="34"/>
      <c r="J141" s="34"/>
      <c r="K141" s="34"/>
      <c r="L141" s="34"/>
      <c r="M141" s="34"/>
      <c r="N141" s="4"/>
    </row>
    <row r="142" spans="1:14" ht="20.100000000000001" customHeight="1" thickBot="1">
      <c r="A142" s="35"/>
      <c r="B142" s="19">
        <v>0</v>
      </c>
      <c r="C142" s="36"/>
      <c r="D142" s="30"/>
      <c r="E142" s="66"/>
      <c r="F142" s="41" t="s">
        <v>370</v>
      </c>
      <c r="G142" s="41" t="s">
        <v>371</v>
      </c>
      <c r="H142" s="41" t="s">
        <v>372</v>
      </c>
      <c r="I142" s="41" t="s">
        <v>373</v>
      </c>
      <c r="J142" s="41" t="s">
        <v>374</v>
      </c>
      <c r="K142" s="41" t="s">
        <v>602</v>
      </c>
      <c r="L142" s="41" t="s">
        <v>603</v>
      </c>
      <c r="M142" s="41" t="s">
        <v>376</v>
      </c>
      <c r="N142" s="13"/>
    </row>
    <row r="143" spans="1:14" ht="20.100000000000001" customHeight="1" thickTop="1">
      <c r="A143" s="159" t="s">
        <v>296</v>
      </c>
      <c r="B143" s="28">
        <v>0</v>
      </c>
      <c r="C143" s="37" t="str">
        <f>$C$7</f>
        <v>Sopa</v>
      </c>
      <c r="D143" s="30"/>
      <c r="E143" s="67" t="s">
        <v>299</v>
      </c>
      <c r="F143" s="57">
        <v>470.2</v>
      </c>
      <c r="G143" s="57">
        <v>112.4</v>
      </c>
      <c r="H143" s="57">
        <v>3.3</v>
      </c>
      <c r="I143" s="57">
        <v>0.5</v>
      </c>
      <c r="J143" s="57">
        <v>17.2</v>
      </c>
      <c r="K143" s="57">
        <v>5.6</v>
      </c>
      <c r="L143" s="57">
        <v>3.3</v>
      </c>
      <c r="M143" s="57">
        <v>0.2</v>
      </c>
      <c r="N143" s="17" t="s">
        <v>337</v>
      </c>
    </row>
    <row r="144" spans="1:14" ht="22.5" customHeight="1">
      <c r="A144" s="163"/>
      <c r="B144" s="19">
        <v>0</v>
      </c>
      <c r="C144" s="45" t="s">
        <v>290</v>
      </c>
      <c r="D144" s="30"/>
      <c r="E144" s="67" t="s">
        <v>413</v>
      </c>
      <c r="F144" s="57">
        <f>10007.1+624.6</f>
        <v>10631.7</v>
      </c>
      <c r="G144" s="42">
        <f>240.7+149.3</f>
        <v>390</v>
      </c>
      <c r="H144" s="42">
        <v>3.2</v>
      </c>
      <c r="I144" s="42">
        <v>0.5</v>
      </c>
      <c r="J144" s="42">
        <f>0.7+51.8</f>
        <v>52.5</v>
      </c>
      <c r="K144" s="42">
        <f>3.2+0.6</f>
        <v>3.8000000000000003</v>
      </c>
      <c r="L144" s="42">
        <f>6.8+29.4</f>
        <v>36.199999999999996</v>
      </c>
      <c r="M144" s="42">
        <f>0.2+0.4</f>
        <v>0.60000000000000009</v>
      </c>
      <c r="N144" s="17" t="s">
        <v>337</v>
      </c>
    </row>
    <row r="145" spans="1:14" ht="20.100000000000001" customHeight="1">
      <c r="A145" s="163"/>
      <c r="B145" s="28">
        <v>0</v>
      </c>
      <c r="C145" s="45" t="s">
        <v>174</v>
      </c>
      <c r="D145" s="30"/>
      <c r="E145" s="67" t="s">
        <v>398</v>
      </c>
      <c r="F145" s="42">
        <f>20+25.6+40</f>
        <v>85.6</v>
      </c>
      <c r="G145" s="42">
        <f>4.8+6.1+9.6</f>
        <v>20.5</v>
      </c>
      <c r="H145" s="42">
        <f>0.1+0.2+0.2</f>
        <v>0.5</v>
      </c>
      <c r="I145" s="42">
        <v>0.1</v>
      </c>
      <c r="J145" s="42">
        <f>0.3+0.6+1.8</f>
        <v>2.7</v>
      </c>
      <c r="K145" s="42">
        <f>0.3+0.6+1.8</f>
        <v>2.7</v>
      </c>
      <c r="L145" s="42">
        <f>0.7+0.5+0.4</f>
        <v>1.6</v>
      </c>
      <c r="M145" s="42">
        <v>0</v>
      </c>
      <c r="N145" s="16" t="s">
        <v>337</v>
      </c>
    </row>
    <row r="146" spans="1:14" ht="20.100000000000001" customHeight="1">
      <c r="A146" s="163"/>
      <c r="B146" s="19">
        <v>0</v>
      </c>
      <c r="C146" s="38" t="str">
        <f>$C$10</f>
        <v>Sobremesa</v>
      </c>
      <c r="D146" s="30"/>
      <c r="E146" s="67" t="s">
        <v>298</v>
      </c>
      <c r="F146" s="42">
        <v>319.7</v>
      </c>
      <c r="G146" s="58">
        <v>76.400000000000006</v>
      </c>
      <c r="H146" s="58">
        <v>0.5</v>
      </c>
      <c r="I146" s="58">
        <v>0.2</v>
      </c>
      <c r="J146" s="58">
        <v>16.899999999999999</v>
      </c>
      <c r="K146" s="58">
        <v>16.7</v>
      </c>
      <c r="L146" s="58">
        <v>1.1000000000000001</v>
      </c>
      <c r="M146" s="58">
        <v>0</v>
      </c>
      <c r="N146" s="17" t="s">
        <v>337</v>
      </c>
    </row>
    <row r="147" spans="1:14" ht="20.100000000000001" customHeight="1">
      <c r="A147" s="163"/>
      <c r="B147" s="28">
        <v>0</v>
      </c>
      <c r="C147" s="38" t="str">
        <f>$C$11</f>
        <v>Pão</v>
      </c>
      <c r="D147" s="30"/>
      <c r="E147" s="67" t="s">
        <v>297</v>
      </c>
      <c r="F147" s="156" t="s">
        <v>377</v>
      </c>
      <c r="G147" s="157"/>
      <c r="H147" s="157"/>
      <c r="I147" s="157"/>
      <c r="J147" s="157"/>
      <c r="K147" s="157"/>
      <c r="L147" s="157"/>
      <c r="M147" s="158"/>
      <c r="N147" s="16"/>
    </row>
    <row r="148" spans="1:14" ht="123" customHeight="1">
      <c r="A148" s="167" t="str">
        <f>+A$40</f>
        <v xml:space="preserve">
A sua refeição contém ou pode conter as seguintes substâncias ou produtos e seus derivados: 1Cereais que contêm glúten, 2Crustáceos , 3Ovos, 4Peixes, 5Amendoins, 6Soja, 7Leite, 8Frutos de casca rija, 9Aipo, 10Mostarda, 11Sementes de sésamo, 12Dióxido de enxofre e sulfitos, 13Tremoço, 14Moluscos. 
Para quem não é alérgico ou intolerante, estas substâncias ou produtos são completamente inofensivas. 
Caso necessite informação adicional sobre os produtos em causa deve solicitar aos funcionários.
Declaração nutricional: valores médios de 100 g ou 100 ml, calculados a partir dos valores médios conhecidos dos ingredientes utilizados, segundo o Instituto Nacional de Saúde Dr. Ricardo Jorge, Tabela da Composição de Alimentos (2007), e a informação disponibilizada pelos fornecedores.
Legenda: VE - Valor energético, Líp. - Lípidos, AG Sat. - Ácidos Gordos Saturados, HC - Hidratos de Carbono, Prot. - Proteínas.
</v>
      </c>
      <c r="B148" s="168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5"/>
    </row>
    <row r="149" spans="1:14" ht="39.950000000000003" customHeight="1">
      <c r="B149" s="28">
        <v>0</v>
      </c>
      <c r="C149" s="61" t="s">
        <v>387</v>
      </c>
      <c r="D149" s="26"/>
      <c r="E149" s="70" t="s">
        <v>195</v>
      </c>
      <c r="F149" s="39"/>
      <c r="G149" s="39"/>
      <c r="H149" s="39"/>
      <c r="I149" s="39"/>
      <c r="J149" s="39"/>
      <c r="K149" s="39"/>
      <c r="L149" s="39"/>
      <c r="M149" s="39"/>
      <c r="N149" s="1"/>
    </row>
    <row r="150" spans="1:14" ht="20.100000000000001" customHeight="1" thickBot="1">
      <c r="B150" s="19">
        <v>0</v>
      </c>
      <c r="E150" s="66"/>
      <c r="F150" s="41" t="s">
        <v>370</v>
      </c>
      <c r="G150" s="41" t="s">
        <v>371</v>
      </c>
      <c r="H150" s="41" t="s">
        <v>372</v>
      </c>
      <c r="I150" s="41" t="s">
        <v>373</v>
      </c>
      <c r="J150" s="41" t="s">
        <v>374</v>
      </c>
      <c r="K150" s="41" t="s">
        <v>602</v>
      </c>
      <c r="L150" s="41" t="s">
        <v>603</v>
      </c>
      <c r="M150" s="41" t="s">
        <v>376</v>
      </c>
      <c r="N150" s="3"/>
    </row>
    <row r="151" spans="1:14" ht="20.100000000000001" customHeight="1" thickTop="1">
      <c r="A151" s="159" t="s">
        <v>288</v>
      </c>
      <c r="B151" s="28">
        <v>0</v>
      </c>
      <c r="C151" s="29" t="s">
        <v>289</v>
      </c>
      <c r="D151" s="30"/>
      <c r="E151" s="74" t="s">
        <v>417</v>
      </c>
      <c r="F151" s="42">
        <v>569.1</v>
      </c>
      <c r="G151" s="42">
        <v>136</v>
      </c>
      <c r="H151" s="42">
        <v>3.8</v>
      </c>
      <c r="I151" s="42">
        <v>0.7</v>
      </c>
      <c r="J151" s="42">
        <v>20.399999999999999</v>
      </c>
      <c r="K151" s="42">
        <v>5.9</v>
      </c>
      <c r="L151" s="42">
        <v>4.8</v>
      </c>
      <c r="M151" s="42">
        <v>0.2</v>
      </c>
      <c r="N151" s="17" t="s">
        <v>337</v>
      </c>
    </row>
    <row r="152" spans="1:14" ht="40.5" customHeight="1">
      <c r="A152" s="163"/>
      <c r="B152" s="19">
        <v>0</v>
      </c>
      <c r="C152" s="45" t="s">
        <v>290</v>
      </c>
      <c r="D152" s="30"/>
      <c r="E152" s="74" t="s">
        <v>245</v>
      </c>
      <c r="F152" s="42">
        <f>1078.6+266.9+1198.4</f>
        <v>2543.9</v>
      </c>
      <c r="G152" s="42">
        <f>257.8+63.8+286.4</f>
        <v>608</v>
      </c>
      <c r="H152" s="42">
        <f>13.9+3.2+1.5</f>
        <v>18.600000000000001</v>
      </c>
      <c r="I152" s="42">
        <f>4.8+0.5+0.3</f>
        <v>5.6</v>
      </c>
      <c r="J152" s="42">
        <f>0.7+5.7+56.9</f>
        <v>63.3</v>
      </c>
      <c r="K152" s="42">
        <f>0.6+2.8+2.5</f>
        <v>5.9</v>
      </c>
      <c r="L152" s="42">
        <f>32.5+3+9.7</f>
        <v>45.2</v>
      </c>
      <c r="M152" s="42">
        <v>0.7</v>
      </c>
      <c r="N152" s="17" t="s">
        <v>337</v>
      </c>
    </row>
    <row r="153" spans="1:14" ht="20.100000000000001" customHeight="1">
      <c r="A153" s="163"/>
      <c r="B153" s="28">
        <v>0</v>
      </c>
      <c r="C153" s="45" t="s">
        <v>174</v>
      </c>
      <c r="D153" s="30"/>
      <c r="E153" s="68" t="s">
        <v>208</v>
      </c>
      <c r="F153" s="42">
        <f>20+163.3+25.6</f>
        <v>208.9</v>
      </c>
      <c r="G153" s="42">
        <f>4.8+39.2+6.1</f>
        <v>50.1</v>
      </c>
      <c r="H153" s="42">
        <v>0.8</v>
      </c>
      <c r="I153" s="42">
        <v>0</v>
      </c>
      <c r="J153" s="42">
        <f>0.3+7.1+0.6</f>
        <v>7.9999999999999991</v>
      </c>
      <c r="K153" s="42">
        <f>0.3+0.6</f>
        <v>0.89999999999999991</v>
      </c>
      <c r="L153" s="42">
        <f>0.7+1.5+0.5</f>
        <v>2.7</v>
      </c>
      <c r="M153" s="42">
        <v>0</v>
      </c>
      <c r="N153" s="16" t="s">
        <v>337</v>
      </c>
    </row>
    <row r="154" spans="1:14" ht="20.100000000000001" customHeight="1">
      <c r="A154" s="163"/>
      <c r="B154" s="19">
        <v>0</v>
      </c>
      <c r="C154" s="31" t="s">
        <v>291</v>
      </c>
      <c r="D154" s="30"/>
      <c r="E154" s="67" t="s">
        <v>298</v>
      </c>
      <c r="F154" s="42">
        <v>319.7</v>
      </c>
      <c r="G154" s="58">
        <v>76.400000000000006</v>
      </c>
      <c r="H154" s="58">
        <v>0.5</v>
      </c>
      <c r="I154" s="58">
        <v>0.2</v>
      </c>
      <c r="J154" s="58">
        <v>16.899999999999999</v>
      </c>
      <c r="K154" s="58">
        <v>16.7</v>
      </c>
      <c r="L154" s="58">
        <v>1.1000000000000001</v>
      </c>
      <c r="M154" s="58">
        <v>0</v>
      </c>
      <c r="N154" s="17" t="s">
        <v>337</v>
      </c>
    </row>
    <row r="155" spans="1:14" ht="20.100000000000001" customHeight="1">
      <c r="A155" s="163"/>
      <c r="B155" s="28">
        <v>0</v>
      </c>
      <c r="C155" s="31" t="s">
        <v>292</v>
      </c>
      <c r="D155" s="30"/>
      <c r="E155" s="68" t="s">
        <v>297</v>
      </c>
      <c r="F155" s="156" t="s">
        <v>377</v>
      </c>
      <c r="G155" s="157"/>
      <c r="H155" s="157"/>
      <c r="I155" s="157"/>
      <c r="J155" s="157"/>
      <c r="K155" s="157"/>
      <c r="L155" s="157"/>
      <c r="M155" s="158"/>
      <c r="N155" s="16"/>
    </row>
    <row r="156" spans="1:14" ht="20.100000000000001" customHeight="1">
      <c r="A156" s="32"/>
      <c r="B156" s="19">
        <v>0</v>
      </c>
      <c r="C156" s="33"/>
      <c r="D156" s="30"/>
      <c r="E156" s="69"/>
      <c r="F156" s="34"/>
      <c r="G156" s="34"/>
      <c r="H156" s="34"/>
      <c r="I156" s="34"/>
      <c r="J156" s="34"/>
      <c r="K156" s="34"/>
      <c r="L156" s="34"/>
      <c r="M156" s="34"/>
      <c r="N156" s="4"/>
    </row>
    <row r="157" spans="1:14" ht="20.100000000000001" customHeight="1" thickBot="1">
      <c r="A157" s="35"/>
      <c r="B157" s="28">
        <v>0</v>
      </c>
      <c r="C157" s="36"/>
      <c r="D157" s="30"/>
      <c r="E157" s="66"/>
      <c r="F157" s="41" t="s">
        <v>370</v>
      </c>
      <c r="G157" s="41" t="s">
        <v>371</v>
      </c>
      <c r="H157" s="41" t="s">
        <v>372</v>
      </c>
      <c r="I157" s="41" t="s">
        <v>373</v>
      </c>
      <c r="J157" s="41" t="s">
        <v>374</v>
      </c>
      <c r="K157" s="41" t="s">
        <v>602</v>
      </c>
      <c r="L157" s="41" t="s">
        <v>603</v>
      </c>
      <c r="M157" s="41" t="s">
        <v>376</v>
      </c>
      <c r="N157" s="13"/>
    </row>
    <row r="158" spans="1:14" ht="20.100000000000001" customHeight="1" thickTop="1">
      <c r="A158" s="159" t="s">
        <v>293</v>
      </c>
      <c r="B158" s="19">
        <v>0</v>
      </c>
      <c r="C158" s="37" t="str">
        <f>$C$7</f>
        <v>Sopa</v>
      </c>
      <c r="D158" s="30"/>
      <c r="E158" s="67" t="s">
        <v>207</v>
      </c>
      <c r="F158" s="42">
        <v>994.4</v>
      </c>
      <c r="G158" s="42">
        <v>237.9</v>
      </c>
      <c r="H158" s="42">
        <v>5.2</v>
      </c>
      <c r="I158" s="42">
        <v>0.7</v>
      </c>
      <c r="J158" s="42">
        <v>36.1</v>
      </c>
      <c r="K158" s="42">
        <v>5.3</v>
      </c>
      <c r="L158" s="42">
        <v>10.8</v>
      </c>
      <c r="M158" s="42">
        <v>0.2</v>
      </c>
      <c r="N158" s="17" t="s">
        <v>337</v>
      </c>
    </row>
    <row r="159" spans="1:14" ht="36.75" customHeight="1">
      <c r="A159" s="163"/>
      <c r="B159" s="28">
        <v>0</v>
      </c>
      <c r="C159" s="45" t="s">
        <v>290</v>
      </c>
      <c r="D159" s="30"/>
      <c r="E159" s="67" t="s">
        <v>419</v>
      </c>
      <c r="F159" s="57">
        <f>725.2+1120</f>
        <v>1845.2</v>
      </c>
      <c r="G159" s="42">
        <f>173.3+267.7</f>
        <v>441</v>
      </c>
      <c r="H159" s="42">
        <f>5.3+3</f>
        <v>8.3000000000000007</v>
      </c>
      <c r="I159" s="42">
        <f>0.8+0.4</f>
        <v>1.2000000000000002</v>
      </c>
      <c r="J159" s="42">
        <f>51.8+2.1</f>
        <v>53.9</v>
      </c>
      <c r="K159" s="42">
        <f>1.9+3.2</f>
        <v>5.0999999999999996</v>
      </c>
      <c r="L159" s="42">
        <f>29.4+6.8</f>
        <v>36.199999999999996</v>
      </c>
      <c r="M159" s="42">
        <v>0.8</v>
      </c>
      <c r="N159" s="17" t="s">
        <v>337</v>
      </c>
    </row>
    <row r="160" spans="1:14" ht="30.75" customHeight="1">
      <c r="A160" s="163"/>
      <c r="B160" s="19">
        <v>0</v>
      </c>
      <c r="C160" s="45" t="s">
        <v>174</v>
      </c>
      <c r="D160" s="30"/>
      <c r="E160" s="67" t="s">
        <v>206</v>
      </c>
      <c r="F160" s="42">
        <f>20+163.3+23</f>
        <v>206.3</v>
      </c>
      <c r="G160" s="42">
        <f>4.8+39.2+5.5</f>
        <v>49.5</v>
      </c>
      <c r="H160" s="42">
        <v>0.8</v>
      </c>
      <c r="I160" s="42">
        <v>0</v>
      </c>
      <c r="J160" s="42">
        <f>0.3+7.1+0.7</f>
        <v>8.1</v>
      </c>
      <c r="K160" s="42">
        <f>0.3+0.6</f>
        <v>0.89999999999999991</v>
      </c>
      <c r="L160" s="42">
        <f>0.7+1.5+0.4</f>
        <v>2.6</v>
      </c>
      <c r="M160" s="42">
        <v>0</v>
      </c>
      <c r="N160" s="16" t="s">
        <v>337</v>
      </c>
    </row>
    <row r="161" spans="1:14" ht="20.100000000000001" customHeight="1">
      <c r="A161" s="163"/>
      <c r="B161" s="28">
        <v>0</v>
      </c>
      <c r="C161" s="38" t="str">
        <f>$C$10</f>
        <v>Sobremesa</v>
      </c>
      <c r="D161" s="30"/>
      <c r="E161" s="67" t="s">
        <v>422</v>
      </c>
      <c r="F161" s="42" t="s">
        <v>621</v>
      </c>
      <c r="G161" s="58" t="s">
        <v>622</v>
      </c>
      <c r="H161" s="58" t="s">
        <v>623</v>
      </c>
      <c r="I161" s="58" t="s">
        <v>624</v>
      </c>
      <c r="J161" s="58" t="s">
        <v>625</v>
      </c>
      <c r="K161" s="58" t="s">
        <v>626</v>
      </c>
      <c r="L161" s="58" t="s">
        <v>627</v>
      </c>
      <c r="M161" s="58" t="s">
        <v>628</v>
      </c>
      <c r="N161" s="17" t="s">
        <v>337</v>
      </c>
    </row>
    <row r="162" spans="1:14" ht="20.100000000000001" customHeight="1">
      <c r="A162" s="163"/>
      <c r="B162" s="19">
        <v>0</v>
      </c>
      <c r="C162" s="38" t="str">
        <f>$C$11</f>
        <v>Pão</v>
      </c>
      <c r="D162" s="30"/>
      <c r="E162" s="68" t="s">
        <v>297</v>
      </c>
      <c r="F162" s="156" t="s">
        <v>377</v>
      </c>
      <c r="G162" s="157"/>
      <c r="H162" s="157"/>
      <c r="I162" s="157"/>
      <c r="J162" s="157"/>
      <c r="K162" s="157"/>
      <c r="L162" s="157"/>
      <c r="M162" s="158"/>
      <c r="N162" s="16"/>
    </row>
    <row r="163" spans="1:14" ht="20.100000000000001" customHeight="1">
      <c r="A163" s="32"/>
      <c r="B163" s="28">
        <v>0</v>
      </c>
      <c r="C163" s="33"/>
      <c r="D163" s="30"/>
      <c r="E163" s="69"/>
      <c r="F163" s="34"/>
      <c r="G163" s="34"/>
      <c r="H163" s="34"/>
      <c r="I163" s="34"/>
      <c r="J163" s="34"/>
      <c r="K163" s="34"/>
      <c r="L163" s="34"/>
      <c r="M163" s="34"/>
      <c r="N163" s="4"/>
    </row>
    <row r="164" spans="1:14" ht="20.100000000000001" customHeight="1" thickBot="1">
      <c r="A164" s="35"/>
      <c r="B164" s="19">
        <v>0</v>
      </c>
      <c r="C164" s="36"/>
      <c r="D164" s="30"/>
      <c r="F164" s="41" t="s">
        <v>370</v>
      </c>
      <c r="G164" s="41" t="s">
        <v>371</v>
      </c>
      <c r="H164" s="41" t="s">
        <v>372</v>
      </c>
      <c r="I164" s="41" t="s">
        <v>373</v>
      </c>
      <c r="J164" s="41" t="s">
        <v>374</v>
      </c>
      <c r="K164" s="41" t="s">
        <v>602</v>
      </c>
      <c r="L164" s="41" t="s">
        <v>603</v>
      </c>
      <c r="M164" s="41" t="s">
        <v>376</v>
      </c>
      <c r="N164" s="13"/>
    </row>
    <row r="165" spans="1:14" ht="20.100000000000001" customHeight="1" thickTop="1">
      <c r="A165" s="159" t="s">
        <v>294</v>
      </c>
      <c r="B165" s="28">
        <v>0</v>
      </c>
      <c r="C165" s="37" t="str">
        <f>$C$7</f>
        <v>Sopa</v>
      </c>
      <c r="D165" s="30"/>
      <c r="E165" s="67" t="s">
        <v>418</v>
      </c>
      <c r="F165" s="42">
        <v>430.3</v>
      </c>
      <c r="G165" s="42">
        <v>102.8</v>
      </c>
      <c r="H165" s="42">
        <v>3.3</v>
      </c>
      <c r="I165" s="42">
        <v>0.5</v>
      </c>
      <c r="J165" s="42">
        <v>15.6</v>
      </c>
      <c r="K165" s="42">
        <v>4.4000000000000004</v>
      </c>
      <c r="L165" s="42">
        <v>2.5</v>
      </c>
      <c r="M165" s="42">
        <v>0.2</v>
      </c>
      <c r="N165" s="17" t="s">
        <v>337</v>
      </c>
    </row>
    <row r="166" spans="1:14" ht="20.100000000000001" customHeight="1">
      <c r="A166" s="163"/>
      <c r="B166" s="19">
        <v>0</v>
      </c>
      <c r="C166" s="45" t="s">
        <v>290</v>
      </c>
      <c r="D166" s="30"/>
      <c r="E166" s="74" t="s">
        <v>209</v>
      </c>
      <c r="F166" s="42">
        <f>1872.3+1300.2</f>
        <v>3172.5</v>
      </c>
      <c r="G166" s="42">
        <f>447.4+310.7</f>
        <v>758.09999999999991</v>
      </c>
      <c r="H166" s="42">
        <f>13.9+3.3</f>
        <v>17.2</v>
      </c>
      <c r="I166" s="42">
        <f>4.2+0.5</f>
        <v>4.7</v>
      </c>
      <c r="J166" s="42">
        <f>27.9+62.8</f>
        <v>90.699999999999989</v>
      </c>
      <c r="K166" s="42">
        <v>3.9</v>
      </c>
      <c r="L166" s="42">
        <f>5.5+52.2</f>
        <v>57.7</v>
      </c>
      <c r="M166" s="42">
        <f>0.9+0.1</f>
        <v>1</v>
      </c>
      <c r="N166" s="17" t="s">
        <v>337</v>
      </c>
    </row>
    <row r="167" spans="1:14" ht="20.100000000000001" customHeight="1">
      <c r="A167" s="163"/>
      <c r="B167" s="28">
        <v>0</v>
      </c>
      <c r="C167" s="45" t="s">
        <v>174</v>
      </c>
      <c r="D167" s="30"/>
      <c r="E167" s="67" t="s">
        <v>420</v>
      </c>
      <c r="F167" s="42">
        <f>20+28.5+25.6</f>
        <v>74.099999999999994</v>
      </c>
      <c r="G167" s="42">
        <f>4.8+6.8+6.1</f>
        <v>17.7</v>
      </c>
      <c r="H167" s="42">
        <v>0.3</v>
      </c>
      <c r="I167" s="42">
        <v>0</v>
      </c>
      <c r="J167" s="42">
        <f>0.3+1.2+0.6</f>
        <v>2.1</v>
      </c>
      <c r="K167" s="42">
        <f>0.3+1+0.6</f>
        <v>1.9</v>
      </c>
      <c r="L167" s="42">
        <f>0.7+0.6+0.5</f>
        <v>1.7999999999999998</v>
      </c>
      <c r="M167" s="42">
        <v>0</v>
      </c>
      <c r="N167" s="16" t="s">
        <v>337</v>
      </c>
    </row>
    <row r="168" spans="1:14" ht="20.100000000000001" customHeight="1">
      <c r="A168" s="163"/>
      <c r="B168" s="19">
        <v>0</v>
      </c>
      <c r="C168" s="38" t="str">
        <f>$C$10</f>
        <v>Sobremesa</v>
      </c>
      <c r="D168" s="30"/>
      <c r="E168" s="67" t="s">
        <v>298</v>
      </c>
      <c r="F168" s="42">
        <v>319.7</v>
      </c>
      <c r="G168" s="58">
        <v>76.400000000000006</v>
      </c>
      <c r="H168" s="58">
        <v>0.5</v>
      </c>
      <c r="I168" s="58">
        <v>0.2</v>
      </c>
      <c r="J168" s="58">
        <v>16.899999999999999</v>
      </c>
      <c r="K168" s="58">
        <v>16.7</v>
      </c>
      <c r="L168" s="58">
        <v>1.1000000000000001</v>
      </c>
      <c r="M168" s="58">
        <v>0</v>
      </c>
      <c r="N168" s="17" t="s">
        <v>337</v>
      </c>
    </row>
    <row r="169" spans="1:14" ht="20.100000000000001" customHeight="1">
      <c r="A169" s="163"/>
      <c r="B169" s="28">
        <v>0</v>
      </c>
      <c r="C169" s="38" t="str">
        <f>$C$11</f>
        <v>Pão</v>
      </c>
      <c r="D169" s="30"/>
      <c r="E169" s="68" t="s">
        <v>297</v>
      </c>
      <c r="F169" s="156" t="s">
        <v>377</v>
      </c>
      <c r="G169" s="157"/>
      <c r="H169" s="157"/>
      <c r="I169" s="157"/>
      <c r="J169" s="157"/>
      <c r="K169" s="157"/>
      <c r="L169" s="157"/>
      <c r="M169" s="158"/>
      <c r="N169" s="16"/>
    </row>
    <row r="170" spans="1:14" ht="20.100000000000001" customHeight="1">
      <c r="A170" s="32"/>
      <c r="B170" s="19">
        <v>0</v>
      </c>
      <c r="C170" s="33"/>
      <c r="D170" s="30"/>
      <c r="F170" s="34"/>
      <c r="G170" s="34"/>
      <c r="H170" s="34"/>
      <c r="I170" s="34"/>
      <c r="J170" s="34"/>
      <c r="K170" s="34"/>
      <c r="L170" s="34"/>
      <c r="M170" s="34"/>
      <c r="N170" s="4"/>
    </row>
    <row r="171" spans="1:14" ht="20.100000000000001" customHeight="1" thickBot="1">
      <c r="A171" s="35"/>
      <c r="B171" s="28">
        <v>0</v>
      </c>
      <c r="C171" s="36"/>
      <c r="D171" s="30"/>
      <c r="E171" s="66"/>
      <c r="F171" s="41" t="s">
        <v>370</v>
      </c>
      <c r="G171" s="41" t="s">
        <v>371</v>
      </c>
      <c r="H171" s="41" t="s">
        <v>372</v>
      </c>
      <c r="I171" s="41" t="s">
        <v>373</v>
      </c>
      <c r="J171" s="41" t="s">
        <v>374</v>
      </c>
      <c r="K171" s="41" t="s">
        <v>602</v>
      </c>
      <c r="L171" s="41" t="s">
        <v>603</v>
      </c>
      <c r="M171" s="41" t="s">
        <v>376</v>
      </c>
      <c r="N171" s="13"/>
    </row>
    <row r="172" spans="1:14" ht="20.100000000000001" customHeight="1" thickTop="1">
      <c r="A172" s="159" t="s">
        <v>295</v>
      </c>
      <c r="B172" s="19">
        <v>0</v>
      </c>
      <c r="C172" s="37" t="str">
        <f>$C$7</f>
        <v>Sopa</v>
      </c>
      <c r="D172" s="30"/>
      <c r="E172" s="67"/>
      <c r="F172" s="42"/>
      <c r="G172" s="42"/>
      <c r="H172" s="42"/>
      <c r="I172" s="42"/>
      <c r="J172" s="42"/>
      <c r="K172" s="42"/>
      <c r="L172" s="42"/>
      <c r="M172" s="42"/>
      <c r="N172" s="17" t="s">
        <v>337</v>
      </c>
    </row>
    <row r="173" spans="1:14" ht="39.75" customHeight="1">
      <c r="A173" s="163"/>
      <c r="B173" s="28">
        <v>0</v>
      </c>
      <c r="C173" s="45" t="s">
        <v>290</v>
      </c>
      <c r="D173" s="30"/>
      <c r="E173" s="75" t="s">
        <v>196</v>
      </c>
      <c r="F173" s="57"/>
      <c r="G173" s="42"/>
      <c r="H173" s="42"/>
      <c r="I173" s="42"/>
      <c r="J173" s="42"/>
      <c r="K173" s="42"/>
      <c r="L173" s="42"/>
      <c r="M173" s="42"/>
      <c r="N173" s="17" t="s">
        <v>337</v>
      </c>
    </row>
    <row r="174" spans="1:14" ht="20.100000000000001" customHeight="1">
      <c r="A174" s="163"/>
      <c r="B174" s="19">
        <v>0</v>
      </c>
      <c r="C174" s="45" t="s">
        <v>174</v>
      </c>
      <c r="D174" s="30"/>
      <c r="E174" s="67"/>
      <c r="F174" s="42"/>
      <c r="G174" s="42"/>
      <c r="H174" s="42"/>
      <c r="I174" s="42"/>
      <c r="J174" s="42"/>
      <c r="K174" s="42"/>
      <c r="L174" s="42"/>
      <c r="M174" s="42"/>
      <c r="N174" s="16" t="s">
        <v>337</v>
      </c>
    </row>
    <row r="175" spans="1:14" ht="20.100000000000001" customHeight="1">
      <c r="A175" s="163"/>
      <c r="B175" s="28">
        <v>0</v>
      </c>
      <c r="C175" s="38" t="str">
        <f>$C$10</f>
        <v>Sobremesa</v>
      </c>
      <c r="D175" s="30"/>
      <c r="E175" s="67"/>
      <c r="F175" s="42"/>
      <c r="G175" s="42"/>
      <c r="H175" s="42"/>
      <c r="I175" s="42"/>
      <c r="J175" s="42"/>
      <c r="K175" s="42"/>
      <c r="L175" s="42"/>
      <c r="M175" s="42"/>
      <c r="N175" s="17" t="s">
        <v>337</v>
      </c>
    </row>
    <row r="176" spans="1:14" ht="20.100000000000001" customHeight="1">
      <c r="A176" s="163"/>
      <c r="B176" s="19">
        <v>0</v>
      </c>
      <c r="C176" s="38" t="str">
        <f>$C$11</f>
        <v>Pão</v>
      </c>
      <c r="D176" s="30"/>
      <c r="E176" s="68"/>
      <c r="F176" s="156" t="s">
        <v>377</v>
      </c>
      <c r="G176" s="157"/>
      <c r="H176" s="157"/>
      <c r="I176" s="157"/>
      <c r="J176" s="157"/>
      <c r="K176" s="157"/>
      <c r="L176" s="157"/>
      <c r="M176" s="158"/>
      <c r="N176" s="16"/>
    </row>
    <row r="177" spans="1:14" ht="20.100000000000001" customHeight="1">
      <c r="A177" s="32"/>
      <c r="B177" s="28">
        <v>0</v>
      </c>
      <c r="C177" s="33"/>
      <c r="D177" s="30"/>
      <c r="E177" s="69"/>
      <c r="F177" s="34"/>
      <c r="G177" s="34"/>
      <c r="H177" s="34"/>
      <c r="I177" s="34"/>
      <c r="J177" s="34"/>
      <c r="K177" s="34"/>
      <c r="L177" s="34"/>
      <c r="M177" s="34"/>
      <c r="N177" s="4"/>
    </row>
    <row r="178" spans="1:14" ht="20.100000000000001" customHeight="1" thickBot="1">
      <c r="A178" s="35"/>
      <c r="B178" s="19">
        <v>0</v>
      </c>
      <c r="C178" s="36"/>
      <c r="D178" s="30"/>
      <c r="E178" s="66"/>
      <c r="F178" s="41" t="s">
        <v>370</v>
      </c>
      <c r="G178" s="41" t="s">
        <v>371</v>
      </c>
      <c r="H178" s="41" t="s">
        <v>372</v>
      </c>
      <c r="I178" s="41" t="s">
        <v>373</v>
      </c>
      <c r="J178" s="41" t="s">
        <v>374</v>
      </c>
      <c r="K178" s="41" t="s">
        <v>602</v>
      </c>
      <c r="L178" s="41" t="s">
        <v>603</v>
      </c>
      <c r="M178" s="41" t="s">
        <v>376</v>
      </c>
      <c r="N178" s="13"/>
    </row>
    <row r="179" spans="1:14" ht="20.100000000000001" customHeight="1" thickTop="1">
      <c r="A179" s="159" t="s">
        <v>296</v>
      </c>
      <c r="B179" s="28">
        <v>0</v>
      </c>
      <c r="C179" s="37" t="str">
        <f>$C$7</f>
        <v>Sopa</v>
      </c>
      <c r="D179" s="30"/>
      <c r="E179" s="67" t="s">
        <v>312</v>
      </c>
      <c r="F179" s="42">
        <v>528.20000000000005</v>
      </c>
      <c r="G179" s="42">
        <v>126.2</v>
      </c>
      <c r="H179" s="42">
        <v>3.5</v>
      </c>
      <c r="I179" s="42">
        <v>0.5</v>
      </c>
      <c r="J179" s="42">
        <v>18.8</v>
      </c>
      <c r="K179" s="42">
        <v>5.3</v>
      </c>
      <c r="L179" s="42">
        <v>4.8</v>
      </c>
      <c r="M179" s="42">
        <v>0.2</v>
      </c>
      <c r="N179" s="17" t="s">
        <v>337</v>
      </c>
    </row>
    <row r="180" spans="1:14" ht="40.5" customHeight="1">
      <c r="A180" s="163"/>
      <c r="B180" s="19">
        <v>0</v>
      </c>
      <c r="C180" s="45" t="s">
        <v>290</v>
      </c>
      <c r="D180" s="30"/>
      <c r="E180" s="67" t="s">
        <v>246</v>
      </c>
      <c r="F180" s="57">
        <f>1096.4+1029.5</f>
        <v>2125.9</v>
      </c>
      <c r="G180" s="42">
        <f>246+262.1</f>
        <v>508.1</v>
      </c>
      <c r="H180" s="42">
        <f>3.3+11.9</f>
        <v>15.2</v>
      </c>
      <c r="I180" s="42">
        <f>0.5+1.6</f>
        <v>2.1</v>
      </c>
      <c r="J180" s="42">
        <v>48.5</v>
      </c>
      <c r="K180" s="42">
        <v>1.5</v>
      </c>
      <c r="L180" s="42">
        <f>4.3+38.6</f>
        <v>42.9</v>
      </c>
      <c r="M180" s="42">
        <v>0.5</v>
      </c>
      <c r="N180" s="17" t="s">
        <v>337</v>
      </c>
    </row>
    <row r="181" spans="1:14" ht="20.100000000000001" customHeight="1">
      <c r="A181" s="163"/>
      <c r="B181" s="28">
        <v>0</v>
      </c>
      <c r="C181" s="45" t="s">
        <v>174</v>
      </c>
      <c r="D181" s="30"/>
      <c r="E181" s="67" t="s">
        <v>421</v>
      </c>
      <c r="F181" s="42">
        <f>32.4+28.5+40</f>
        <v>100.9</v>
      </c>
      <c r="G181" s="42">
        <f>7.7+6.8+9.6</f>
        <v>24.1</v>
      </c>
      <c r="H181" s="42">
        <v>0.2</v>
      </c>
      <c r="I181" s="42">
        <v>0</v>
      </c>
      <c r="J181" s="42">
        <f>1.8+1.2+1.8</f>
        <v>4.8</v>
      </c>
      <c r="K181" s="42">
        <f>1.6+1+1.8</f>
        <v>4.4000000000000004</v>
      </c>
      <c r="L181" s="42">
        <f>0.2+0.6+0.4</f>
        <v>1.2000000000000002</v>
      </c>
      <c r="M181" s="42">
        <v>0.1</v>
      </c>
      <c r="N181" s="16" t="s">
        <v>337</v>
      </c>
    </row>
    <row r="182" spans="1:14" ht="20.100000000000001" customHeight="1">
      <c r="A182" s="163"/>
      <c r="B182" s="19">
        <v>0</v>
      </c>
      <c r="C182" s="38" t="str">
        <f>$C$10</f>
        <v>Sobremesa</v>
      </c>
      <c r="D182" s="30"/>
      <c r="E182" s="67" t="s">
        <v>298</v>
      </c>
      <c r="F182" s="42">
        <v>319.7</v>
      </c>
      <c r="G182" s="58">
        <v>76.400000000000006</v>
      </c>
      <c r="H182" s="58">
        <v>0.5</v>
      </c>
      <c r="I182" s="58">
        <v>0.2</v>
      </c>
      <c r="J182" s="58">
        <v>16.899999999999999</v>
      </c>
      <c r="K182" s="58">
        <v>16.7</v>
      </c>
      <c r="L182" s="58">
        <v>1.1000000000000001</v>
      </c>
      <c r="M182" s="58">
        <v>0</v>
      </c>
      <c r="N182" s="17" t="s">
        <v>337</v>
      </c>
    </row>
    <row r="183" spans="1:14" ht="20.100000000000001" customHeight="1">
      <c r="A183" s="163"/>
      <c r="B183" s="28">
        <v>0</v>
      </c>
      <c r="C183" s="38" t="str">
        <f>$C$11</f>
        <v>Pão</v>
      </c>
      <c r="D183" s="30"/>
      <c r="E183" s="68" t="s">
        <v>297</v>
      </c>
      <c r="F183" s="156" t="s">
        <v>377</v>
      </c>
      <c r="G183" s="157"/>
      <c r="H183" s="157"/>
      <c r="I183" s="157"/>
      <c r="J183" s="157"/>
      <c r="K183" s="157"/>
      <c r="L183" s="157"/>
      <c r="M183" s="158"/>
      <c r="N183" s="16"/>
    </row>
    <row r="184" spans="1:14" ht="123" customHeight="1">
      <c r="A184" s="167" t="str">
        <f>+A$40</f>
        <v xml:space="preserve">
A sua refeição contém ou pode conter as seguintes substâncias ou produtos e seus derivados: 1Cereais que contêm glúten, 2Crustáceos , 3Ovos, 4Peixes, 5Amendoins, 6Soja, 7Leite, 8Frutos de casca rija, 9Aipo, 10Mostarda, 11Sementes de sésamo, 12Dióxido de enxofre e sulfitos, 13Tremoço, 14Moluscos. 
Para quem não é alérgico ou intolerante, estas substâncias ou produtos são completamente inofensivas. 
Caso necessite informação adicional sobre os produtos em causa deve solicitar aos funcionários.
Declaração nutricional: valores médios de 100 g ou 100 ml, calculados a partir dos valores médios conhecidos dos ingredientes utilizados, segundo o Instituto Nacional de Saúde Dr. Ricardo Jorge, Tabela da Composição de Alimentos (2007), e a informação disponibilizada pelos fornecedores.
Legenda: VE - Valor energético, Líp. - Lípidos, AG Sat. - Ácidos Gordos Saturados, HC - Hidratos de Carbono, Prot. - Proteínas.
</v>
      </c>
      <c r="B184" s="168"/>
      <c r="C184" s="168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5"/>
    </row>
    <row r="185" spans="1:14" ht="39.950000000000003" customHeight="1">
      <c r="B185" s="28">
        <v>0</v>
      </c>
      <c r="C185" s="61" t="s">
        <v>388</v>
      </c>
      <c r="D185" s="26"/>
      <c r="E185" s="70" t="s">
        <v>183</v>
      </c>
      <c r="F185" s="39"/>
      <c r="G185" s="39"/>
      <c r="H185" s="39"/>
      <c r="I185" s="39"/>
      <c r="J185" s="39"/>
      <c r="K185" s="39"/>
      <c r="L185" s="39"/>
      <c r="M185" s="39"/>
      <c r="N185" s="14"/>
    </row>
    <row r="186" spans="1:14" ht="20.100000000000001" customHeight="1" thickBot="1">
      <c r="B186" s="19">
        <v>0</v>
      </c>
      <c r="E186" s="66"/>
      <c r="F186" s="41" t="s">
        <v>370</v>
      </c>
      <c r="G186" s="41" t="s">
        <v>371</v>
      </c>
      <c r="H186" s="41" t="s">
        <v>372</v>
      </c>
      <c r="I186" s="41" t="s">
        <v>373</v>
      </c>
      <c r="J186" s="41" t="s">
        <v>374</v>
      </c>
      <c r="K186" s="41" t="s">
        <v>602</v>
      </c>
      <c r="L186" s="41" t="s">
        <v>603</v>
      </c>
      <c r="M186" s="41" t="s">
        <v>376</v>
      </c>
      <c r="N186" s="13"/>
    </row>
    <row r="187" spans="1:14" ht="20.100000000000001" customHeight="1" thickTop="1">
      <c r="A187" s="159" t="s">
        <v>288</v>
      </c>
      <c r="B187" s="28">
        <v>0</v>
      </c>
      <c r="C187" s="29" t="s">
        <v>289</v>
      </c>
      <c r="D187" s="30"/>
      <c r="E187" s="67" t="s">
        <v>303</v>
      </c>
      <c r="F187" s="42">
        <v>509.8</v>
      </c>
      <c r="G187" s="42">
        <v>121.9</v>
      </c>
      <c r="H187" s="42">
        <v>3.6</v>
      </c>
      <c r="I187" s="42">
        <v>6.4</v>
      </c>
      <c r="J187" s="42">
        <v>18.100000000000001</v>
      </c>
      <c r="K187" s="42">
        <v>5</v>
      </c>
      <c r="L187" s="42">
        <v>4.5</v>
      </c>
      <c r="M187" s="42">
        <v>0.1</v>
      </c>
      <c r="N187" s="17" t="s">
        <v>337</v>
      </c>
    </row>
    <row r="188" spans="1:14" ht="36">
      <c r="A188" s="163"/>
      <c r="B188" s="19">
        <v>0</v>
      </c>
      <c r="C188" s="45" t="s">
        <v>290</v>
      </c>
      <c r="D188" s="30"/>
      <c r="E188" s="67" t="s">
        <v>425</v>
      </c>
      <c r="F188" s="42">
        <v>1514.3</v>
      </c>
      <c r="G188" s="42">
        <v>367.3</v>
      </c>
      <c r="H188" s="42">
        <v>21.7</v>
      </c>
      <c r="I188" s="42">
        <v>1.5</v>
      </c>
      <c r="J188" s="42">
        <v>6</v>
      </c>
      <c r="K188" s="42">
        <v>2.6</v>
      </c>
      <c r="L188" s="42">
        <v>37.1</v>
      </c>
      <c r="M188" s="42">
        <v>0.8</v>
      </c>
      <c r="N188" s="17" t="s">
        <v>337</v>
      </c>
    </row>
    <row r="189" spans="1:14" ht="20.100000000000001" customHeight="1">
      <c r="A189" s="163"/>
      <c r="B189" s="28">
        <v>0</v>
      </c>
      <c r="C189" s="45" t="s">
        <v>174</v>
      </c>
      <c r="D189" s="30"/>
      <c r="E189" s="67" t="s">
        <v>398</v>
      </c>
      <c r="F189" s="42">
        <f>32.4+28.5+40</f>
        <v>100.9</v>
      </c>
      <c r="G189" s="42">
        <f>7.7+6.8+9.6</f>
        <v>24.1</v>
      </c>
      <c r="H189" s="42">
        <v>0.2</v>
      </c>
      <c r="I189" s="42">
        <v>0</v>
      </c>
      <c r="J189" s="42">
        <f>1.8+1.2+1.8</f>
        <v>4.8</v>
      </c>
      <c r="K189" s="42">
        <f>1.6+1+1.8</f>
        <v>4.4000000000000004</v>
      </c>
      <c r="L189" s="42">
        <f>0.2+0.6+0.4</f>
        <v>1.2000000000000002</v>
      </c>
      <c r="M189" s="42">
        <v>0.1</v>
      </c>
      <c r="N189" s="16" t="s">
        <v>337</v>
      </c>
    </row>
    <row r="190" spans="1:14" ht="20.100000000000001" customHeight="1">
      <c r="A190" s="163"/>
      <c r="B190" s="19">
        <v>0</v>
      </c>
      <c r="C190" s="31" t="s">
        <v>291</v>
      </c>
      <c r="D190" s="30"/>
      <c r="E190" s="67" t="s">
        <v>298</v>
      </c>
      <c r="F190" s="42">
        <v>319.7</v>
      </c>
      <c r="G190" s="58">
        <v>76.400000000000006</v>
      </c>
      <c r="H190" s="58">
        <v>0.5</v>
      </c>
      <c r="I190" s="58">
        <v>0.2</v>
      </c>
      <c r="J190" s="58">
        <v>16.899999999999999</v>
      </c>
      <c r="K190" s="58">
        <v>16.7</v>
      </c>
      <c r="L190" s="58">
        <v>1.1000000000000001</v>
      </c>
      <c r="M190" s="58">
        <v>0</v>
      </c>
      <c r="N190" s="17" t="s">
        <v>337</v>
      </c>
    </row>
    <row r="191" spans="1:14" ht="20.100000000000001" customHeight="1">
      <c r="A191" s="163"/>
      <c r="B191" s="28">
        <v>0</v>
      </c>
      <c r="C191" s="31" t="s">
        <v>292</v>
      </c>
      <c r="D191" s="30"/>
      <c r="E191" s="67" t="s">
        <v>297</v>
      </c>
      <c r="F191" s="156" t="s">
        <v>377</v>
      </c>
      <c r="G191" s="157"/>
      <c r="H191" s="157"/>
      <c r="I191" s="157"/>
      <c r="J191" s="157"/>
      <c r="K191" s="157"/>
      <c r="L191" s="157"/>
      <c r="M191" s="158"/>
      <c r="N191" s="16"/>
    </row>
    <row r="192" spans="1:14" ht="20.100000000000001" customHeight="1">
      <c r="A192" s="32"/>
      <c r="B192" s="19">
        <v>0</v>
      </c>
      <c r="C192" s="33"/>
      <c r="D192" s="30"/>
      <c r="E192" s="69"/>
      <c r="F192" s="34"/>
      <c r="G192" s="34"/>
      <c r="H192" s="34"/>
      <c r="I192" s="34"/>
      <c r="J192" s="34"/>
      <c r="K192" s="34"/>
      <c r="L192" s="34"/>
      <c r="M192" s="34"/>
      <c r="N192" s="4"/>
    </row>
    <row r="193" spans="1:14" ht="20.100000000000001" customHeight="1" thickBot="1">
      <c r="A193" s="35"/>
      <c r="B193" s="28">
        <v>0</v>
      </c>
      <c r="C193" s="36"/>
      <c r="D193" s="30"/>
      <c r="E193" s="66"/>
      <c r="F193" s="41" t="s">
        <v>370</v>
      </c>
      <c r="G193" s="41" t="s">
        <v>371</v>
      </c>
      <c r="H193" s="41" t="s">
        <v>372</v>
      </c>
      <c r="I193" s="41" t="s">
        <v>373</v>
      </c>
      <c r="J193" s="41" t="s">
        <v>374</v>
      </c>
      <c r="K193" s="41" t="s">
        <v>602</v>
      </c>
      <c r="L193" s="41" t="s">
        <v>603</v>
      </c>
      <c r="M193" s="41" t="s">
        <v>376</v>
      </c>
      <c r="N193" s="13"/>
    </row>
    <row r="194" spans="1:14" ht="20.100000000000001" customHeight="1" thickTop="1">
      <c r="A194" s="159" t="s">
        <v>293</v>
      </c>
      <c r="B194" s="19">
        <v>0</v>
      </c>
      <c r="C194" s="37" t="str">
        <f>$C$7</f>
        <v>Sopa</v>
      </c>
      <c r="D194" s="30"/>
      <c r="E194" s="67" t="s">
        <v>266</v>
      </c>
      <c r="F194" s="42">
        <v>436.5</v>
      </c>
      <c r="G194" s="42">
        <v>104.3</v>
      </c>
      <c r="H194" s="42">
        <v>3.2</v>
      </c>
      <c r="I194" s="42">
        <v>0.5</v>
      </c>
      <c r="J194" s="42">
        <v>15.8</v>
      </c>
      <c r="K194" s="42">
        <v>4.2</v>
      </c>
      <c r="L194" s="42">
        <v>2.8</v>
      </c>
      <c r="M194" s="42">
        <v>0.2</v>
      </c>
      <c r="N194" s="17" t="s">
        <v>337</v>
      </c>
    </row>
    <row r="195" spans="1:14" ht="35.25" customHeight="1">
      <c r="A195" s="163"/>
      <c r="B195" s="28">
        <v>0</v>
      </c>
      <c r="C195" s="45" t="s">
        <v>290</v>
      </c>
      <c r="D195" s="30"/>
      <c r="E195" s="67" t="s">
        <v>426</v>
      </c>
      <c r="F195" s="42">
        <v>2443.1</v>
      </c>
      <c r="G195" s="42">
        <v>583.9</v>
      </c>
      <c r="H195" s="42">
        <v>10.4</v>
      </c>
      <c r="I195" s="42">
        <v>2.6</v>
      </c>
      <c r="J195" s="42">
        <v>62.8</v>
      </c>
      <c r="K195" s="42">
        <v>0.2</v>
      </c>
      <c r="L195" s="42">
        <v>57.8</v>
      </c>
      <c r="M195" s="42">
        <v>0.8</v>
      </c>
      <c r="N195" s="17" t="s">
        <v>337</v>
      </c>
    </row>
    <row r="196" spans="1:14" ht="20.100000000000001" customHeight="1">
      <c r="A196" s="163"/>
      <c r="B196" s="19">
        <v>0</v>
      </c>
      <c r="C196" s="45" t="s">
        <v>174</v>
      </c>
      <c r="D196" s="30"/>
      <c r="E196" s="67" t="s">
        <v>427</v>
      </c>
      <c r="F196" s="42">
        <f>20+64.8+163.3</f>
        <v>248.10000000000002</v>
      </c>
      <c r="G196" s="42">
        <f>4.8+15.5+39.2</f>
        <v>59.5</v>
      </c>
      <c r="H196" s="42">
        <v>0.8</v>
      </c>
      <c r="I196" s="42">
        <v>0</v>
      </c>
      <c r="J196" s="42">
        <f>0.3+1.7+7.1</f>
        <v>9.1</v>
      </c>
      <c r="K196" s="42">
        <f>0.3+1.6</f>
        <v>1.9000000000000001</v>
      </c>
      <c r="L196" s="42">
        <f>0.7+1.9+1.5</f>
        <v>4.0999999999999996</v>
      </c>
      <c r="M196" s="42">
        <v>0</v>
      </c>
      <c r="N196" s="16" t="s">
        <v>337</v>
      </c>
    </row>
    <row r="197" spans="1:14" ht="20.100000000000001" customHeight="1">
      <c r="A197" s="163"/>
      <c r="B197" s="28">
        <v>0</v>
      </c>
      <c r="C197" s="38" t="str">
        <f>$C$10</f>
        <v>Sobremesa</v>
      </c>
      <c r="D197" s="30"/>
      <c r="E197" s="67" t="s">
        <v>298</v>
      </c>
      <c r="F197" s="42">
        <v>319.7</v>
      </c>
      <c r="G197" s="58">
        <v>76.400000000000006</v>
      </c>
      <c r="H197" s="58">
        <v>0.5</v>
      </c>
      <c r="I197" s="58">
        <v>0.2</v>
      </c>
      <c r="J197" s="58">
        <v>16.899999999999999</v>
      </c>
      <c r="K197" s="58">
        <v>16.7</v>
      </c>
      <c r="L197" s="58">
        <v>1.1000000000000001</v>
      </c>
      <c r="M197" s="58">
        <v>0</v>
      </c>
      <c r="N197" s="17" t="s">
        <v>337</v>
      </c>
    </row>
    <row r="198" spans="1:14" ht="20.100000000000001" customHeight="1">
      <c r="A198" s="163"/>
      <c r="B198" s="19">
        <v>0</v>
      </c>
      <c r="C198" s="38" t="str">
        <f>$C$11</f>
        <v>Pão</v>
      </c>
      <c r="D198" s="30"/>
      <c r="E198" s="68" t="s">
        <v>297</v>
      </c>
      <c r="F198" s="156" t="s">
        <v>377</v>
      </c>
      <c r="G198" s="157"/>
      <c r="H198" s="157"/>
      <c r="I198" s="157"/>
      <c r="J198" s="157"/>
      <c r="K198" s="157"/>
      <c r="L198" s="157"/>
      <c r="M198" s="158"/>
      <c r="N198" s="16"/>
    </row>
    <row r="199" spans="1:14" ht="20.100000000000001" customHeight="1">
      <c r="A199" s="32"/>
      <c r="B199" s="28">
        <v>0</v>
      </c>
      <c r="C199" s="33"/>
      <c r="D199" s="30"/>
      <c r="E199" s="69"/>
      <c r="F199" s="34"/>
      <c r="G199" s="34"/>
      <c r="H199" s="34"/>
      <c r="I199" s="34"/>
      <c r="J199" s="34"/>
      <c r="K199" s="34"/>
      <c r="L199" s="34"/>
      <c r="M199" s="34"/>
      <c r="N199" s="4"/>
    </row>
    <row r="200" spans="1:14" ht="20.100000000000001" customHeight="1" thickBot="1">
      <c r="A200" s="35"/>
      <c r="B200" s="19">
        <v>0</v>
      </c>
      <c r="C200" s="36"/>
      <c r="D200" s="30"/>
      <c r="E200" s="66"/>
      <c r="F200" s="41" t="s">
        <v>370</v>
      </c>
      <c r="G200" s="41" t="s">
        <v>371</v>
      </c>
      <c r="H200" s="41" t="s">
        <v>372</v>
      </c>
      <c r="I200" s="41" t="s">
        <v>373</v>
      </c>
      <c r="J200" s="41" t="s">
        <v>374</v>
      </c>
      <c r="K200" s="41" t="s">
        <v>602</v>
      </c>
      <c r="L200" s="41" t="s">
        <v>603</v>
      </c>
      <c r="M200" s="41" t="s">
        <v>376</v>
      </c>
      <c r="N200" s="13"/>
    </row>
    <row r="201" spans="1:14" ht="20.100000000000001" customHeight="1" thickTop="1">
      <c r="A201" s="159" t="s">
        <v>294</v>
      </c>
      <c r="B201" s="28">
        <v>0</v>
      </c>
      <c r="C201" s="37" t="str">
        <f>$C$7</f>
        <v>Sopa</v>
      </c>
      <c r="D201" s="30"/>
      <c r="E201" s="74" t="s">
        <v>176</v>
      </c>
      <c r="F201" s="57">
        <v>883.4</v>
      </c>
      <c r="G201" s="42">
        <v>211.1</v>
      </c>
      <c r="H201" s="42">
        <v>3.7</v>
      </c>
      <c r="I201" s="42">
        <v>0.6</v>
      </c>
      <c r="J201" s="42">
        <v>32.200000000000003</v>
      </c>
      <c r="K201" s="42">
        <v>4.9000000000000004</v>
      </c>
      <c r="L201" s="42">
        <v>11.7</v>
      </c>
      <c r="M201" s="42">
        <v>0.2</v>
      </c>
      <c r="N201" s="17" t="s">
        <v>337</v>
      </c>
    </row>
    <row r="202" spans="1:14" ht="34.5" customHeight="1">
      <c r="A202" s="163"/>
      <c r="B202" s="19">
        <v>0</v>
      </c>
      <c r="C202" s="45" t="s">
        <v>290</v>
      </c>
      <c r="D202" s="30"/>
      <c r="E202" s="74" t="s">
        <v>177</v>
      </c>
      <c r="F202" s="42">
        <f>1863.2+1120</f>
        <v>2983.2</v>
      </c>
      <c r="G202" s="42">
        <f>445.3+267.7</f>
        <v>713</v>
      </c>
      <c r="H202" s="42">
        <f>37.2+3</f>
        <v>40.200000000000003</v>
      </c>
      <c r="I202" s="42">
        <f>7.1+0.4</f>
        <v>7.5</v>
      </c>
      <c r="J202" s="42">
        <v>51.8</v>
      </c>
      <c r="K202" s="42">
        <v>3.2</v>
      </c>
      <c r="L202" s="42">
        <f>27.5+6.8</f>
        <v>34.299999999999997</v>
      </c>
      <c r="M202" s="42">
        <v>0.5</v>
      </c>
      <c r="N202" s="17" t="s">
        <v>337</v>
      </c>
    </row>
    <row r="203" spans="1:14" ht="20.100000000000001" customHeight="1">
      <c r="A203" s="163"/>
      <c r="B203" s="28">
        <v>0</v>
      </c>
      <c r="C203" s="45" t="s">
        <v>174</v>
      </c>
      <c r="D203" s="30"/>
      <c r="E203" s="74" t="s">
        <v>406</v>
      </c>
      <c r="F203" s="42">
        <f>20+163.3+40</f>
        <v>223.3</v>
      </c>
      <c r="G203" s="42">
        <f>4.8+39.2+9.6</f>
        <v>53.6</v>
      </c>
      <c r="H203" s="42">
        <v>0.8</v>
      </c>
      <c r="I203" s="42">
        <v>0</v>
      </c>
      <c r="J203" s="42">
        <f>0.3+7.1+1.8</f>
        <v>9.1999999999999993</v>
      </c>
      <c r="K203" s="42">
        <f>0.3+1.8</f>
        <v>2.1</v>
      </c>
      <c r="L203" s="42">
        <f>0.7+1.5+0.4</f>
        <v>2.6</v>
      </c>
      <c r="M203" s="42">
        <v>0</v>
      </c>
      <c r="N203" s="16" t="s">
        <v>337</v>
      </c>
    </row>
    <row r="204" spans="1:14" ht="20.100000000000001" customHeight="1">
      <c r="A204" s="163"/>
      <c r="B204" s="19">
        <v>0</v>
      </c>
      <c r="C204" s="38" t="str">
        <f>$C$10</f>
        <v>Sobremesa</v>
      </c>
      <c r="D204" s="30"/>
      <c r="E204" s="67" t="s">
        <v>314</v>
      </c>
      <c r="F204" s="42" t="s">
        <v>621</v>
      </c>
      <c r="G204" s="58" t="s">
        <v>622</v>
      </c>
      <c r="H204" s="58" t="s">
        <v>623</v>
      </c>
      <c r="I204" s="58" t="s">
        <v>624</v>
      </c>
      <c r="J204" s="58" t="s">
        <v>625</v>
      </c>
      <c r="K204" s="58" t="s">
        <v>626</v>
      </c>
      <c r="L204" s="58" t="s">
        <v>627</v>
      </c>
      <c r="M204" s="58" t="s">
        <v>628</v>
      </c>
      <c r="N204" s="17" t="s">
        <v>337</v>
      </c>
    </row>
    <row r="205" spans="1:14" ht="20.100000000000001" customHeight="1">
      <c r="A205" s="163"/>
      <c r="B205" s="28">
        <v>0</v>
      </c>
      <c r="C205" s="38" t="str">
        <f>$C$11</f>
        <v>Pão</v>
      </c>
      <c r="D205" s="30"/>
      <c r="E205" s="68" t="s">
        <v>297</v>
      </c>
      <c r="F205" s="156" t="s">
        <v>377</v>
      </c>
      <c r="G205" s="157"/>
      <c r="H205" s="157"/>
      <c r="I205" s="157"/>
      <c r="J205" s="157"/>
      <c r="K205" s="157"/>
      <c r="L205" s="157"/>
      <c r="M205" s="158"/>
      <c r="N205" s="16"/>
    </row>
    <row r="206" spans="1:14" ht="20.100000000000001" customHeight="1">
      <c r="A206" s="32"/>
      <c r="B206" s="19">
        <v>0</v>
      </c>
      <c r="C206" s="33"/>
      <c r="D206" s="30"/>
      <c r="E206" s="69"/>
      <c r="F206" s="34"/>
      <c r="G206" s="34"/>
      <c r="H206" s="34"/>
      <c r="I206" s="34"/>
      <c r="J206" s="34"/>
      <c r="K206" s="34"/>
      <c r="L206" s="34"/>
      <c r="M206" s="34"/>
      <c r="N206" s="4"/>
    </row>
    <row r="207" spans="1:14" ht="20.100000000000001" customHeight="1" thickBot="1">
      <c r="A207" s="35"/>
      <c r="B207" s="28">
        <v>0</v>
      </c>
      <c r="C207" s="36"/>
      <c r="D207" s="30"/>
      <c r="E207" s="66"/>
      <c r="F207" s="41" t="s">
        <v>370</v>
      </c>
      <c r="G207" s="41" t="s">
        <v>371</v>
      </c>
      <c r="H207" s="41" t="s">
        <v>372</v>
      </c>
      <c r="I207" s="41" t="s">
        <v>373</v>
      </c>
      <c r="J207" s="41" t="s">
        <v>374</v>
      </c>
      <c r="K207" s="41" t="s">
        <v>602</v>
      </c>
      <c r="L207" s="41" t="s">
        <v>603</v>
      </c>
      <c r="M207" s="41" t="s">
        <v>376</v>
      </c>
      <c r="N207" s="13"/>
    </row>
    <row r="208" spans="1:14" ht="20.100000000000001" customHeight="1" thickTop="1">
      <c r="A208" s="159" t="s">
        <v>295</v>
      </c>
      <c r="B208" s="19">
        <v>0</v>
      </c>
      <c r="C208" s="37" t="str">
        <f>$C$7</f>
        <v>Sopa</v>
      </c>
      <c r="D208" s="30"/>
      <c r="E208" s="67" t="s">
        <v>306</v>
      </c>
      <c r="F208" s="42">
        <v>514.1</v>
      </c>
      <c r="G208" s="42">
        <v>122.9</v>
      </c>
      <c r="H208" s="42">
        <v>3.4</v>
      </c>
      <c r="I208" s="42">
        <v>0.5</v>
      </c>
      <c r="J208" s="42">
        <v>18.2</v>
      </c>
      <c r="K208" s="42">
        <v>4.7</v>
      </c>
      <c r="L208" s="42">
        <v>4.5999999999999996</v>
      </c>
      <c r="M208" s="42">
        <v>0.2</v>
      </c>
      <c r="N208" s="17" t="s">
        <v>337</v>
      </c>
    </row>
    <row r="209" spans="1:14" ht="34.5" customHeight="1">
      <c r="A209" s="163"/>
      <c r="B209" s="28">
        <v>0</v>
      </c>
      <c r="C209" s="45" t="s">
        <v>290</v>
      </c>
      <c r="D209" s="30"/>
      <c r="E209" s="74" t="s">
        <v>210</v>
      </c>
      <c r="F209" s="42">
        <f>997+182.5+1198.4</f>
        <v>2377.9</v>
      </c>
      <c r="G209" s="42">
        <f>238.3+43.6+286.4</f>
        <v>568.29999999999995</v>
      </c>
      <c r="H209" s="42">
        <f>10.5+0.5+1.5</f>
        <v>12.5</v>
      </c>
      <c r="I209" s="42">
        <f>3+0.4</f>
        <v>3.4</v>
      </c>
      <c r="J209" s="42">
        <f>0.3+0.3+6</f>
        <v>6.6</v>
      </c>
      <c r="K209" s="42">
        <f>0.2+2.9+2.5</f>
        <v>5.6</v>
      </c>
      <c r="L209" s="42">
        <f>35.6+3.9+9.7</f>
        <v>49.2</v>
      </c>
      <c r="M209" s="42">
        <v>0.6</v>
      </c>
      <c r="N209" s="17" t="s">
        <v>337</v>
      </c>
    </row>
    <row r="210" spans="1:14" ht="20.100000000000001" customHeight="1">
      <c r="A210" s="163"/>
      <c r="B210" s="19">
        <v>0</v>
      </c>
      <c r="C210" s="45" t="s">
        <v>174</v>
      </c>
      <c r="D210" s="30"/>
      <c r="E210" s="74" t="s">
        <v>428</v>
      </c>
      <c r="F210" s="42">
        <f>20+30+25.6</f>
        <v>75.599999999999994</v>
      </c>
      <c r="G210" s="42">
        <f>4.8+7.2+6.1</f>
        <v>18.100000000000001</v>
      </c>
      <c r="H210" s="42">
        <f>0.1+0.2</f>
        <v>0.30000000000000004</v>
      </c>
      <c r="I210" s="42">
        <v>0.1</v>
      </c>
      <c r="J210" s="42">
        <f>0.3+1.4+0.6</f>
        <v>2.2999999999999998</v>
      </c>
      <c r="K210" s="42">
        <f>0.3+1.4+0.6</f>
        <v>2.2999999999999998</v>
      </c>
      <c r="L210" s="42">
        <f>0.7+0.4+0.5</f>
        <v>1.6</v>
      </c>
      <c r="M210" s="42">
        <v>0.1</v>
      </c>
      <c r="N210" s="16" t="s">
        <v>337</v>
      </c>
    </row>
    <row r="211" spans="1:14" ht="20.100000000000001" customHeight="1">
      <c r="A211" s="163"/>
      <c r="B211" s="28">
        <v>0</v>
      </c>
      <c r="C211" s="38" t="str">
        <f>$C$10</f>
        <v>Sobremesa</v>
      </c>
      <c r="D211" s="30"/>
      <c r="E211" s="74" t="s">
        <v>298</v>
      </c>
      <c r="F211" s="42">
        <v>319.7</v>
      </c>
      <c r="G211" s="58">
        <v>76.400000000000006</v>
      </c>
      <c r="H211" s="58">
        <v>0.5</v>
      </c>
      <c r="I211" s="58">
        <v>0.2</v>
      </c>
      <c r="J211" s="58">
        <v>16.899999999999999</v>
      </c>
      <c r="K211" s="58">
        <v>16.7</v>
      </c>
      <c r="L211" s="58">
        <v>1.1000000000000001</v>
      </c>
      <c r="M211" s="58">
        <v>0</v>
      </c>
      <c r="N211" s="17" t="s">
        <v>337</v>
      </c>
    </row>
    <row r="212" spans="1:14" ht="20.100000000000001" customHeight="1">
      <c r="A212" s="163"/>
      <c r="B212" s="19">
        <v>0</v>
      </c>
      <c r="C212" s="38" t="str">
        <f>$C$11</f>
        <v>Pão</v>
      </c>
      <c r="D212" s="30"/>
      <c r="E212" s="74" t="s">
        <v>297</v>
      </c>
      <c r="F212" s="156" t="s">
        <v>377</v>
      </c>
      <c r="G212" s="157"/>
      <c r="H212" s="157"/>
      <c r="I212" s="157"/>
      <c r="J212" s="157"/>
      <c r="K212" s="157"/>
      <c r="L212" s="157"/>
      <c r="M212" s="158"/>
      <c r="N212" s="16"/>
    </row>
    <row r="213" spans="1:14" ht="20.100000000000001" customHeight="1">
      <c r="A213" s="32"/>
      <c r="B213" s="28">
        <v>0</v>
      </c>
      <c r="C213" s="33"/>
      <c r="D213" s="30"/>
      <c r="E213" s="69"/>
      <c r="F213" s="34"/>
      <c r="G213" s="34"/>
      <c r="H213" s="34"/>
      <c r="I213" s="34"/>
      <c r="J213" s="34"/>
      <c r="K213" s="34"/>
      <c r="L213" s="34"/>
      <c r="M213" s="34"/>
      <c r="N213" s="4"/>
    </row>
    <row r="214" spans="1:14" ht="20.100000000000001" customHeight="1" thickBot="1">
      <c r="A214" s="35"/>
      <c r="B214" s="19">
        <v>0</v>
      </c>
      <c r="C214" s="36"/>
      <c r="D214" s="30"/>
      <c r="E214" s="66"/>
      <c r="F214" s="41" t="s">
        <v>370</v>
      </c>
      <c r="G214" s="41" t="s">
        <v>371</v>
      </c>
      <c r="H214" s="41" t="s">
        <v>372</v>
      </c>
      <c r="I214" s="41" t="s">
        <v>373</v>
      </c>
      <c r="J214" s="41" t="s">
        <v>374</v>
      </c>
      <c r="K214" s="41" t="s">
        <v>602</v>
      </c>
      <c r="L214" s="41" t="s">
        <v>603</v>
      </c>
      <c r="M214" s="41" t="s">
        <v>376</v>
      </c>
      <c r="N214" s="13"/>
    </row>
    <row r="215" spans="1:14" ht="20.100000000000001" customHeight="1" thickTop="1">
      <c r="A215" s="159" t="s">
        <v>296</v>
      </c>
      <c r="B215" s="28">
        <v>0</v>
      </c>
      <c r="C215" s="37" t="str">
        <f>$C$7</f>
        <v>Sopa</v>
      </c>
      <c r="D215" s="30"/>
      <c r="E215" s="67" t="s">
        <v>424</v>
      </c>
      <c r="F215" s="42">
        <v>288.8</v>
      </c>
      <c r="G215" s="42">
        <v>69</v>
      </c>
      <c r="H215" s="42">
        <v>3.4</v>
      </c>
      <c r="I215" s="42">
        <v>0.5</v>
      </c>
      <c r="J215" s="42">
        <v>6.9</v>
      </c>
      <c r="K215" s="42">
        <v>5.8</v>
      </c>
      <c r="L215" s="42">
        <v>3</v>
      </c>
      <c r="M215" s="42">
        <v>0.2</v>
      </c>
      <c r="N215" s="17" t="s">
        <v>337</v>
      </c>
    </row>
    <row r="216" spans="1:14" ht="53.25" customHeight="1">
      <c r="A216" s="163"/>
      <c r="B216" s="19">
        <v>0</v>
      </c>
      <c r="C216" s="45" t="s">
        <v>290</v>
      </c>
      <c r="D216" s="30"/>
      <c r="E216" s="67" t="s">
        <v>247</v>
      </c>
      <c r="F216" s="57">
        <f>1140+1243</f>
        <v>2383</v>
      </c>
      <c r="G216" s="57">
        <f>270+297.1</f>
        <v>567.1</v>
      </c>
      <c r="H216" s="57">
        <f>11.4+3.6</f>
        <v>15</v>
      </c>
      <c r="I216" s="57">
        <f>0.9+0.6</f>
        <v>1.5</v>
      </c>
      <c r="J216" s="57">
        <f>27+56</f>
        <v>83</v>
      </c>
      <c r="K216" s="57">
        <f>1.4+1.1</f>
        <v>2.5</v>
      </c>
      <c r="L216" s="57">
        <f>15+8.6</f>
        <v>23.6</v>
      </c>
      <c r="M216" s="57">
        <v>1.5</v>
      </c>
      <c r="N216" s="77" t="s">
        <v>337</v>
      </c>
    </row>
    <row r="217" spans="1:14" ht="20.100000000000001" customHeight="1">
      <c r="A217" s="163"/>
      <c r="B217" s="28">
        <v>0</v>
      </c>
      <c r="C217" s="45" t="s">
        <v>174</v>
      </c>
      <c r="D217" s="30"/>
      <c r="E217" s="67" t="s">
        <v>248</v>
      </c>
      <c r="F217" s="42">
        <f>20+29.2+40</f>
        <v>89.2</v>
      </c>
      <c r="G217" s="42">
        <f>4.8+7+9.6</f>
        <v>21.4</v>
      </c>
      <c r="H217" s="42">
        <v>0.4</v>
      </c>
      <c r="I217" s="42">
        <v>0</v>
      </c>
      <c r="J217" s="42">
        <f>0.3+1.2+1.8</f>
        <v>3.3</v>
      </c>
      <c r="K217" s="42">
        <f>0.3+0.9+1.8</f>
        <v>3</v>
      </c>
      <c r="L217" s="42">
        <f>0.7+0.4+0.4</f>
        <v>1.5</v>
      </c>
      <c r="M217" s="42">
        <v>0</v>
      </c>
      <c r="N217" s="16" t="s">
        <v>337</v>
      </c>
    </row>
    <row r="218" spans="1:14" ht="33" customHeight="1">
      <c r="A218" s="163"/>
      <c r="B218" s="19">
        <v>0</v>
      </c>
      <c r="C218" s="38" t="str">
        <f>$C$10</f>
        <v>Sobremesa</v>
      </c>
      <c r="D218" s="30"/>
      <c r="E218" s="67" t="s">
        <v>328</v>
      </c>
      <c r="F218" s="42" t="s">
        <v>650</v>
      </c>
      <c r="G218" s="58" t="s">
        <v>651</v>
      </c>
      <c r="H218" s="58" t="s">
        <v>652</v>
      </c>
      <c r="I218" s="58" t="s">
        <v>653</v>
      </c>
      <c r="J218" s="58" t="s">
        <v>654</v>
      </c>
      <c r="K218" s="58" t="s">
        <v>655</v>
      </c>
      <c r="L218" s="58" t="s">
        <v>656</v>
      </c>
      <c r="M218" s="58" t="s">
        <v>620</v>
      </c>
      <c r="N218" s="17" t="s">
        <v>337</v>
      </c>
    </row>
    <row r="219" spans="1:14" ht="20.100000000000001" customHeight="1">
      <c r="A219" s="163"/>
      <c r="B219" s="28">
        <v>0</v>
      </c>
      <c r="C219" s="38" t="str">
        <f>$C$11</f>
        <v>Pão</v>
      </c>
      <c r="D219" s="30"/>
      <c r="E219" s="68" t="s">
        <v>297</v>
      </c>
      <c r="F219" s="156" t="s">
        <v>377</v>
      </c>
      <c r="G219" s="157"/>
      <c r="H219" s="157"/>
      <c r="I219" s="157"/>
      <c r="J219" s="157"/>
      <c r="K219" s="157"/>
      <c r="L219" s="157"/>
      <c r="M219" s="158"/>
      <c r="N219" s="16"/>
    </row>
    <row r="220" spans="1:14" ht="123" customHeight="1">
      <c r="A220" s="167" t="str">
        <f>+A$40</f>
        <v xml:space="preserve">
A sua refeição contém ou pode conter as seguintes substâncias ou produtos e seus derivados: 1Cereais que contêm glúten, 2Crustáceos , 3Ovos, 4Peixes, 5Amendoins, 6Soja, 7Leite, 8Frutos de casca rija, 9Aipo, 10Mostarda, 11Sementes de sésamo, 12Dióxido de enxofre e sulfitos, 13Tremoço, 14Moluscos. 
Para quem não é alérgico ou intolerante, estas substâncias ou produtos são completamente inofensivas. 
Caso necessite informação adicional sobre os produtos em causa deve solicitar aos funcionários.
Declaração nutricional: valores médios de 100 g ou 100 ml, calculados a partir dos valores médios conhecidos dos ingredientes utilizados, segundo o Instituto Nacional de Saúde Dr. Ricardo Jorge, Tabela da Composição de Alimentos (2007), e a informação disponibilizada pelos fornecedores.
Legenda: VE - Valor energético, Líp. - Lípidos, AG Sat. - Ácidos Gordos Saturados, HC - Hidratos de Carbono, Prot. - Proteínas.
</v>
      </c>
      <c r="B220" s="168"/>
      <c r="C220" s="168"/>
      <c r="D220" s="168"/>
      <c r="E220" s="168"/>
      <c r="F220" s="168"/>
      <c r="G220" s="168"/>
      <c r="H220" s="168"/>
      <c r="I220" s="168"/>
      <c r="J220" s="168"/>
      <c r="K220" s="168"/>
      <c r="L220" s="168"/>
      <c r="M220" s="168"/>
      <c r="N220" s="5"/>
    </row>
    <row r="221" spans="1:14" ht="39.950000000000003" customHeight="1">
      <c r="B221" s="28">
        <v>0</v>
      </c>
      <c r="C221" s="61" t="s">
        <v>389</v>
      </c>
      <c r="D221" s="26"/>
      <c r="E221" s="70" t="s">
        <v>184</v>
      </c>
      <c r="F221" s="39"/>
      <c r="G221" s="39"/>
      <c r="H221" s="39"/>
      <c r="I221" s="39"/>
      <c r="J221" s="39"/>
      <c r="K221" s="39"/>
      <c r="L221" s="39"/>
      <c r="M221" s="39"/>
      <c r="N221" s="14"/>
    </row>
    <row r="222" spans="1:14" ht="20.100000000000001" customHeight="1" thickBot="1">
      <c r="B222" s="19">
        <v>0</v>
      </c>
      <c r="E222" s="66"/>
      <c r="F222" s="41" t="s">
        <v>370</v>
      </c>
      <c r="G222" s="41" t="s">
        <v>371</v>
      </c>
      <c r="H222" s="41" t="s">
        <v>372</v>
      </c>
      <c r="I222" s="41" t="s">
        <v>373</v>
      </c>
      <c r="J222" s="41" t="s">
        <v>374</v>
      </c>
      <c r="K222" s="41" t="s">
        <v>602</v>
      </c>
      <c r="L222" s="41" t="s">
        <v>603</v>
      </c>
      <c r="M222" s="41" t="s">
        <v>376</v>
      </c>
      <c r="N222" s="13"/>
    </row>
    <row r="223" spans="1:14" ht="20.100000000000001" customHeight="1" thickTop="1">
      <c r="A223" s="159" t="s">
        <v>288</v>
      </c>
      <c r="B223" s="28">
        <v>0</v>
      </c>
      <c r="C223" s="29" t="s">
        <v>289</v>
      </c>
      <c r="D223" s="30"/>
      <c r="E223" s="67" t="s">
        <v>307</v>
      </c>
      <c r="F223" s="60">
        <v>452</v>
      </c>
      <c r="G223" s="60">
        <v>108</v>
      </c>
      <c r="H223" s="60">
        <v>3.3</v>
      </c>
      <c r="I223" s="60">
        <v>0.5</v>
      </c>
      <c r="J223" s="60">
        <v>16.7</v>
      </c>
      <c r="K223" s="60">
        <v>5.3</v>
      </c>
      <c r="L223" s="60">
        <v>2.7</v>
      </c>
      <c r="M223" s="60">
        <v>0.2</v>
      </c>
      <c r="N223" s="17" t="s">
        <v>337</v>
      </c>
    </row>
    <row r="224" spans="1:14" ht="36.75" customHeight="1">
      <c r="A224" s="163"/>
      <c r="B224" s="19">
        <v>0</v>
      </c>
      <c r="C224" s="45" t="s">
        <v>290</v>
      </c>
      <c r="D224" s="30"/>
      <c r="E224" s="67" t="s">
        <v>433</v>
      </c>
      <c r="F224" s="57">
        <v>1166.3</v>
      </c>
      <c r="G224" s="57">
        <v>278.7</v>
      </c>
      <c r="H224" s="57">
        <v>10.8</v>
      </c>
      <c r="I224" s="57">
        <v>3</v>
      </c>
      <c r="J224" s="57">
        <v>6.5</v>
      </c>
      <c r="K224" s="57">
        <v>3.2</v>
      </c>
      <c r="L224" s="57">
        <v>38.9</v>
      </c>
      <c r="M224" s="57">
        <v>0.4</v>
      </c>
      <c r="N224" s="17" t="s">
        <v>337</v>
      </c>
    </row>
    <row r="225" spans="1:14" ht="20.100000000000001" customHeight="1">
      <c r="A225" s="163"/>
      <c r="B225" s="28">
        <v>0</v>
      </c>
      <c r="C225" s="45" t="s">
        <v>174</v>
      </c>
      <c r="D225" s="30"/>
      <c r="E225" s="67" t="s">
        <v>434</v>
      </c>
      <c r="F225" s="42">
        <f>20+32.4+28</f>
        <v>80.400000000000006</v>
      </c>
      <c r="G225" s="42">
        <f>4.8+7.7+6.7</f>
        <v>19.2</v>
      </c>
      <c r="H225" s="42">
        <f>0.1+0.1+0.1</f>
        <v>0.30000000000000004</v>
      </c>
      <c r="I225" s="42">
        <v>0</v>
      </c>
      <c r="J225" s="42">
        <f>0.3+1.8+0.8</f>
        <v>2.9000000000000004</v>
      </c>
      <c r="K225" s="42">
        <f>0.3+1.6+0.8</f>
        <v>2.7</v>
      </c>
      <c r="L225" s="42">
        <f>0.7+0.2+0.6</f>
        <v>1.5</v>
      </c>
      <c r="M225" s="42">
        <v>0.1</v>
      </c>
      <c r="N225" s="16" t="s">
        <v>337</v>
      </c>
    </row>
    <row r="226" spans="1:14" ht="20.100000000000001" customHeight="1">
      <c r="A226" s="163"/>
      <c r="B226" s="19">
        <v>0</v>
      </c>
      <c r="C226" s="31" t="s">
        <v>291</v>
      </c>
      <c r="D226" s="30"/>
      <c r="E226" s="67" t="s">
        <v>298</v>
      </c>
      <c r="F226" s="42">
        <v>319.7</v>
      </c>
      <c r="G226" s="58">
        <v>76.400000000000006</v>
      </c>
      <c r="H226" s="58">
        <v>0.5</v>
      </c>
      <c r="I226" s="58">
        <v>0.2</v>
      </c>
      <c r="J226" s="58">
        <v>16.899999999999999</v>
      </c>
      <c r="K226" s="58">
        <v>16.7</v>
      </c>
      <c r="L226" s="58">
        <v>1.1000000000000001</v>
      </c>
      <c r="M226" s="58">
        <v>0</v>
      </c>
      <c r="N226" s="17" t="s">
        <v>337</v>
      </c>
    </row>
    <row r="227" spans="1:14" ht="20.100000000000001" customHeight="1">
      <c r="A227" s="163"/>
      <c r="B227" s="28">
        <v>0</v>
      </c>
      <c r="C227" s="31" t="s">
        <v>292</v>
      </c>
      <c r="D227" s="30"/>
      <c r="E227" s="67" t="s">
        <v>297</v>
      </c>
      <c r="F227" s="156" t="s">
        <v>377</v>
      </c>
      <c r="G227" s="157"/>
      <c r="H227" s="157"/>
      <c r="I227" s="157"/>
      <c r="J227" s="157"/>
      <c r="K227" s="157"/>
      <c r="L227" s="157"/>
      <c r="M227" s="158"/>
      <c r="N227" s="16"/>
    </row>
    <row r="228" spans="1:14" ht="20.100000000000001" customHeight="1">
      <c r="A228" s="32"/>
      <c r="B228" s="19">
        <v>0</v>
      </c>
      <c r="C228" s="33"/>
      <c r="D228" s="30"/>
      <c r="E228" s="69"/>
      <c r="F228" s="34"/>
      <c r="G228" s="34"/>
      <c r="H228" s="34"/>
      <c r="I228" s="34"/>
      <c r="J228" s="34"/>
      <c r="K228" s="34"/>
      <c r="L228" s="34"/>
      <c r="M228" s="34"/>
      <c r="N228" s="4"/>
    </row>
    <row r="229" spans="1:14" ht="20.100000000000001" customHeight="1" thickBot="1">
      <c r="A229" s="35"/>
      <c r="B229" s="28">
        <v>0</v>
      </c>
      <c r="C229" s="36"/>
      <c r="D229" s="30"/>
      <c r="E229" s="66"/>
      <c r="F229" s="41" t="s">
        <v>370</v>
      </c>
      <c r="G229" s="41" t="s">
        <v>371</v>
      </c>
      <c r="H229" s="41" t="s">
        <v>372</v>
      </c>
      <c r="I229" s="41" t="s">
        <v>373</v>
      </c>
      <c r="J229" s="41" t="s">
        <v>374</v>
      </c>
      <c r="K229" s="41" t="s">
        <v>602</v>
      </c>
      <c r="L229" s="41" t="s">
        <v>603</v>
      </c>
      <c r="M229" s="41" t="s">
        <v>376</v>
      </c>
      <c r="N229" s="13"/>
    </row>
    <row r="230" spans="1:14" ht="31.5" customHeight="1" thickTop="1">
      <c r="A230" s="159" t="s">
        <v>293</v>
      </c>
      <c r="B230" s="19">
        <v>0</v>
      </c>
      <c r="C230" s="37" t="str">
        <f>$C$7</f>
        <v>Sopa</v>
      </c>
      <c r="D230" s="30"/>
      <c r="E230" s="74" t="s">
        <v>308</v>
      </c>
      <c r="F230" s="42">
        <v>582</v>
      </c>
      <c r="G230" s="42">
        <v>139.19999999999999</v>
      </c>
      <c r="H230" s="42">
        <v>3.6</v>
      </c>
      <c r="I230" s="42">
        <v>0.6</v>
      </c>
      <c r="J230" s="42">
        <v>19.899999999999999</v>
      </c>
      <c r="K230" s="42">
        <v>5.3</v>
      </c>
      <c r="L230" s="42">
        <v>6.5</v>
      </c>
      <c r="M230" s="42">
        <v>0.2</v>
      </c>
      <c r="N230" s="17" t="s">
        <v>337</v>
      </c>
    </row>
    <row r="231" spans="1:14" ht="42" customHeight="1">
      <c r="A231" s="163"/>
      <c r="B231" s="28">
        <v>0</v>
      </c>
      <c r="C231" s="45" t="s">
        <v>290</v>
      </c>
      <c r="D231" s="30"/>
      <c r="E231" s="74" t="s">
        <v>172</v>
      </c>
      <c r="F231" s="42">
        <v>1672.2</v>
      </c>
      <c r="G231" s="42">
        <v>399.6</v>
      </c>
      <c r="H231" s="42">
        <v>0.8</v>
      </c>
      <c r="I231" s="42">
        <v>0.2</v>
      </c>
      <c r="J231" s="42">
        <v>53.6</v>
      </c>
      <c r="K231" s="42">
        <v>4.9000000000000004</v>
      </c>
      <c r="L231" s="42">
        <v>43.1</v>
      </c>
      <c r="M231" s="42">
        <v>7.3</v>
      </c>
      <c r="N231" s="17" t="s">
        <v>337</v>
      </c>
    </row>
    <row r="232" spans="1:14" ht="20.100000000000001" customHeight="1">
      <c r="A232" s="163"/>
      <c r="B232" s="19">
        <v>0</v>
      </c>
      <c r="C232" s="45" t="s">
        <v>174</v>
      </c>
      <c r="D232" s="30"/>
      <c r="E232" s="74" t="s">
        <v>435</v>
      </c>
      <c r="F232" s="57">
        <f>32.4+163.3+40</f>
        <v>235.70000000000002</v>
      </c>
      <c r="G232" s="42">
        <f>7.7+39.2+9.6</f>
        <v>56.500000000000007</v>
      </c>
      <c r="H232" s="42">
        <f>0.5+0.2</f>
        <v>0.7</v>
      </c>
      <c r="I232" s="42">
        <v>0</v>
      </c>
      <c r="J232" s="42">
        <f>1.8+7.1+1.8</f>
        <v>10.700000000000001</v>
      </c>
      <c r="K232" s="42">
        <f>1.6+1.8</f>
        <v>3.4000000000000004</v>
      </c>
      <c r="L232" s="42">
        <f>0.2+1.5+0.4</f>
        <v>2.1</v>
      </c>
      <c r="M232" s="42">
        <v>0.1</v>
      </c>
      <c r="N232" s="16" t="s">
        <v>337</v>
      </c>
    </row>
    <row r="233" spans="1:14" ht="20.100000000000001" customHeight="1">
      <c r="A233" s="163"/>
      <c r="B233" s="28">
        <v>0</v>
      </c>
      <c r="C233" s="38" t="str">
        <f>$C$10</f>
        <v>Sobremesa</v>
      </c>
      <c r="D233" s="30"/>
      <c r="E233" s="74" t="s">
        <v>438</v>
      </c>
      <c r="F233" s="42" t="s">
        <v>613</v>
      </c>
      <c r="G233" s="58" t="s">
        <v>614</v>
      </c>
      <c r="H233" s="58" t="s">
        <v>615</v>
      </c>
      <c r="I233" s="58" t="s">
        <v>616</v>
      </c>
      <c r="J233" s="58" t="s">
        <v>617</v>
      </c>
      <c r="K233" s="58" t="s">
        <v>618</v>
      </c>
      <c r="L233" s="58" t="s">
        <v>619</v>
      </c>
      <c r="M233" s="58" t="s">
        <v>620</v>
      </c>
      <c r="N233" s="17" t="s">
        <v>337</v>
      </c>
    </row>
    <row r="234" spans="1:14" ht="20.100000000000001" customHeight="1">
      <c r="A234" s="163"/>
      <c r="B234" s="19">
        <v>0</v>
      </c>
      <c r="C234" s="38" t="str">
        <f>$C$11</f>
        <v>Pão</v>
      </c>
      <c r="D234" s="30"/>
      <c r="E234" s="76" t="s">
        <v>297</v>
      </c>
      <c r="F234" s="156" t="s">
        <v>377</v>
      </c>
      <c r="G234" s="157"/>
      <c r="H234" s="157"/>
      <c r="I234" s="157"/>
      <c r="J234" s="157"/>
      <c r="K234" s="157"/>
      <c r="L234" s="157"/>
      <c r="M234" s="158"/>
      <c r="N234" s="16"/>
    </row>
    <row r="235" spans="1:14" ht="20.100000000000001" customHeight="1">
      <c r="A235" s="32"/>
      <c r="B235" s="28">
        <v>0</v>
      </c>
      <c r="C235" s="33"/>
      <c r="D235" s="30"/>
      <c r="F235" s="34"/>
      <c r="G235" s="34"/>
      <c r="H235" s="34"/>
      <c r="I235" s="34"/>
      <c r="J235" s="34"/>
      <c r="K235" s="34"/>
      <c r="L235" s="34"/>
      <c r="M235" s="34"/>
      <c r="N235" s="4"/>
    </row>
    <row r="236" spans="1:14" ht="20.100000000000001" customHeight="1" thickBot="1">
      <c r="A236" s="35"/>
      <c r="B236" s="19">
        <v>0</v>
      </c>
      <c r="C236" s="36"/>
      <c r="D236" s="30"/>
      <c r="E236" s="66"/>
      <c r="F236" s="41" t="s">
        <v>370</v>
      </c>
      <c r="G236" s="41" t="s">
        <v>371</v>
      </c>
      <c r="H236" s="41" t="s">
        <v>372</v>
      </c>
      <c r="I236" s="41" t="s">
        <v>373</v>
      </c>
      <c r="J236" s="41" t="s">
        <v>374</v>
      </c>
      <c r="K236" s="41" t="s">
        <v>602</v>
      </c>
      <c r="L236" s="41" t="s">
        <v>603</v>
      </c>
      <c r="M236" s="41" t="s">
        <v>376</v>
      </c>
      <c r="N236" s="13"/>
    </row>
    <row r="237" spans="1:14" ht="20.100000000000001" customHeight="1" thickTop="1">
      <c r="A237" s="159" t="s">
        <v>294</v>
      </c>
      <c r="B237" s="28">
        <v>0</v>
      </c>
      <c r="C237" s="37" t="str">
        <f>$C$7</f>
        <v>Sopa</v>
      </c>
      <c r="D237" s="30"/>
      <c r="E237" s="67" t="s">
        <v>431</v>
      </c>
      <c r="F237" s="42">
        <v>260.60000000000002</v>
      </c>
      <c r="G237" s="42">
        <v>62.3</v>
      </c>
      <c r="H237" s="42">
        <v>3.5</v>
      </c>
      <c r="I237" s="42">
        <v>0.6</v>
      </c>
      <c r="J237" s="42">
        <v>6.1</v>
      </c>
      <c r="K237" s="42">
        <v>5.3</v>
      </c>
      <c r="L237" s="42">
        <v>2</v>
      </c>
      <c r="M237" s="42">
        <v>0.2</v>
      </c>
      <c r="N237" s="17" t="s">
        <v>337</v>
      </c>
    </row>
    <row r="238" spans="1:14" ht="36" customHeight="1">
      <c r="A238" s="163"/>
      <c r="B238" s="19">
        <v>0</v>
      </c>
      <c r="C238" s="45" t="s">
        <v>290</v>
      </c>
      <c r="D238" s="30"/>
      <c r="E238" s="67" t="s">
        <v>249</v>
      </c>
      <c r="F238" s="42">
        <f>1008.8+1029.5</f>
        <v>2038.3</v>
      </c>
      <c r="G238" s="42">
        <f>246+241.1</f>
        <v>487.1</v>
      </c>
      <c r="H238" s="42">
        <f>3.3+4.4</f>
        <v>7.7</v>
      </c>
      <c r="I238" s="42">
        <f>0.5+1.1</f>
        <v>1.6</v>
      </c>
      <c r="J238" s="42">
        <v>48.5</v>
      </c>
      <c r="K238" s="42">
        <v>1.5</v>
      </c>
      <c r="L238" s="42">
        <v>54.7</v>
      </c>
      <c r="M238" s="42">
        <v>0.7</v>
      </c>
      <c r="N238" s="17" t="s">
        <v>337</v>
      </c>
    </row>
    <row r="239" spans="1:14" ht="20.100000000000001" customHeight="1">
      <c r="A239" s="163"/>
      <c r="B239" s="28">
        <v>0</v>
      </c>
      <c r="C239" s="45" t="s">
        <v>174</v>
      </c>
      <c r="D239" s="30"/>
      <c r="E239" s="67" t="s">
        <v>428</v>
      </c>
      <c r="F239" s="42">
        <f>20+30+25.6</f>
        <v>75.599999999999994</v>
      </c>
      <c r="G239" s="42">
        <f>4.8+7.2+6.1</f>
        <v>18.100000000000001</v>
      </c>
      <c r="H239" s="42">
        <f>0.1+0.2</f>
        <v>0.30000000000000004</v>
      </c>
      <c r="I239" s="42">
        <v>0.1</v>
      </c>
      <c r="J239" s="42">
        <f>0.3+1.4+0.6</f>
        <v>2.2999999999999998</v>
      </c>
      <c r="K239" s="42">
        <f>0.3+1.4+0.6</f>
        <v>2.2999999999999998</v>
      </c>
      <c r="L239" s="42">
        <f>0.7+0.4+0.5</f>
        <v>1.6</v>
      </c>
      <c r="M239" s="42">
        <v>0.1</v>
      </c>
      <c r="N239" s="16" t="s">
        <v>337</v>
      </c>
    </row>
    <row r="240" spans="1:14" ht="20.100000000000001" customHeight="1">
      <c r="A240" s="163"/>
      <c r="B240" s="19">
        <v>0</v>
      </c>
      <c r="C240" s="38" t="str">
        <f>$C$10</f>
        <v>Sobremesa</v>
      </c>
      <c r="D240" s="30"/>
      <c r="E240" s="67" t="s">
        <v>298</v>
      </c>
      <c r="F240" s="42">
        <v>319.7</v>
      </c>
      <c r="G240" s="58">
        <v>76.400000000000006</v>
      </c>
      <c r="H240" s="58">
        <v>0.5</v>
      </c>
      <c r="I240" s="58">
        <v>0.2</v>
      </c>
      <c r="J240" s="58">
        <v>16.899999999999999</v>
      </c>
      <c r="K240" s="58">
        <v>16.7</v>
      </c>
      <c r="L240" s="58">
        <v>1.1000000000000001</v>
      </c>
      <c r="M240" s="58">
        <v>0</v>
      </c>
      <c r="N240" s="17" t="s">
        <v>337</v>
      </c>
    </row>
    <row r="241" spans="1:14" ht="20.100000000000001" customHeight="1">
      <c r="A241" s="163"/>
      <c r="B241" s="28">
        <v>0</v>
      </c>
      <c r="C241" s="38" t="str">
        <f>$C$11</f>
        <v>Pão</v>
      </c>
      <c r="D241" s="30"/>
      <c r="E241" s="67" t="s">
        <v>297</v>
      </c>
      <c r="F241" s="156" t="s">
        <v>377</v>
      </c>
      <c r="G241" s="157"/>
      <c r="H241" s="157"/>
      <c r="I241" s="157"/>
      <c r="J241" s="157"/>
      <c r="K241" s="157"/>
      <c r="L241" s="157"/>
      <c r="M241" s="158"/>
      <c r="N241" s="16"/>
    </row>
    <row r="242" spans="1:14" ht="20.100000000000001" customHeight="1">
      <c r="A242" s="32"/>
      <c r="B242" s="19">
        <v>0</v>
      </c>
      <c r="C242" s="33"/>
      <c r="D242" s="30"/>
      <c r="E242" s="69"/>
      <c r="F242" s="34"/>
      <c r="G242" s="34"/>
      <c r="H242" s="34"/>
      <c r="I242" s="34"/>
      <c r="J242" s="34"/>
      <c r="K242" s="34"/>
      <c r="L242" s="34"/>
      <c r="M242" s="34"/>
      <c r="N242" s="4"/>
    </row>
    <row r="243" spans="1:14" ht="20.100000000000001" customHeight="1" thickBot="1">
      <c r="A243" s="35"/>
      <c r="B243" s="28">
        <v>0</v>
      </c>
      <c r="C243" s="36"/>
      <c r="D243" s="30"/>
      <c r="E243" s="66"/>
      <c r="F243" s="41" t="s">
        <v>370</v>
      </c>
      <c r="G243" s="41" t="s">
        <v>371</v>
      </c>
      <c r="H243" s="41" t="s">
        <v>372</v>
      </c>
      <c r="I243" s="41" t="s">
        <v>373</v>
      </c>
      <c r="J243" s="41" t="s">
        <v>374</v>
      </c>
      <c r="K243" s="41" t="s">
        <v>602</v>
      </c>
      <c r="L243" s="41" t="s">
        <v>603</v>
      </c>
      <c r="M243" s="41" t="s">
        <v>376</v>
      </c>
      <c r="N243" s="13"/>
    </row>
    <row r="244" spans="1:14" ht="20.100000000000001" customHeight="1" thickTop="1">
      <c r="A244" s="159" t="s">
        <v>295</v>
      </c>
      <c r="B244" s="19">
        <v>0</v>
      </c>
      <c r="C244" s="37" t="str">
        <f>$C$7</f>
        <v>Sopa</v>
      </c>
      <c r="D244" s="30"/>
      <c r="E244" s="74" t="s">
        <v>432</v>
      </c>
      <c r="F244" s="57">
        <v>415.3</v>
      </c>
      <c r="G244" s="57">
        <v>99.3</v>
      </c>
      <c r="H244" s="57">
        <v>3.4</v>
      </c>
      <c r="I244" s="57">
        <v>0.5</v>
      </c>
      <c r="J244" s="57">
        <v>13.9</v>
      </c>
      <c r="K244" s="57">
        <v>2.8</v>
      </c>
      <c r="L244" s="57">
        <v>2.9</v>
      </c>
      <c r="M244" s="57">
        <v>0.3</v>
      </c>
      <c r="N244" s="17" t="s">
        <v>337</v>
      </c>
    </row>
    <row r="245" spans="1:14" ht="36">
      <c r="A245" s="163"/>
      <c r="B245" s="28">
        <v>0</v>
      </c>
      <c r="C245" s="45" t="s">
        <v>290</v>
      </c>
      <c r="D245" s="30"/>
      <c r="E245" s="67" t="s">
        <v>211</v>
      </c>
      <c r="F245" s="57">
        <f>709.6+1198.4</f>
        <v>1908</v>
      </c>
      <c r="G245" s="57">
        <f>169.6+286.4</f>
        <v>456</v>
      </c>
      <c r="H245" s="57">
        <f>3.4+1.5</f>
        <v>4.9000000000000004</v>
      </c>
      <c r="I245" s="57">
        <v>0.7</v>
      </c>
      <c r="J245" s="57">
        <f>56.9+0.7</f>
        <v>57.6</v>
      </c>
      <c r="K245" s="57">
        <f>2.5+0.6</f>
        <v>3.1</v>
      </c>
      <c r="L245" s="57">
        <f>34.2+9.7</f>
        <v>43.900000000000006</v>
      </c>
      <c r="M245" s="57">
        <v>0.9</v>
      </c>
      <c r="N245" s="77" t="s">
        <v>337</v>
      </c>
    </row>
    <row r="246" spans="1:14" ht="20.100000000000001" customHeight="1">
      <c r="A246" s="163"/>
      <c r="B246" s="19">
        <v>0</v>
      </c>
      <c r="C246" s="45" t="s">
        <v>174</v>
      </c>
      <c r="D246" s="30"/>
      <c r="E246" s="67" t="s">
        <v>436</v>
      </c>
      <c r="F246" s="57">
        <f>20+32.4+28.5</f>
        <v>80.900000000000006</v>
      </c>
      <c r="G246" s="42">
        <f>4.8+7.7+6.8</f>
        <v>19.3</v>
      </c>
      <c r="H246" s="42">
        <v>0.2</v>
      </c>
      <c r="I246" s="42">
        <v>0</v>
      </c>
      <c r="J246" s="42">
        <f>0.3+1.8+1.2</f>
        <v>3.3</v>
      </c>
      <c r="K246" s="42">
        <f>0.3+1.6+1</f>
        <v>2.9000000000000004</v>
      </c>
      <c r="L246" s="42">
        <f>0.7+0.2+0.6</f>
        <v>1.5</v>
      </c>
      <c r="M246" s="42">
        <v>0.1</v>
      </c>
      <c r="N246" s="16" t="s">
        <v>337</v>
      </c>
    </row>
    <row r="247" spans="1:14" ht="20.100000000000001" customHeight="1">
      <c r="A247" s="163"/>
      <c r="B247" s="28">
        <v>0</v>
      </c>
      <c r="C247" s="38" t="str">
        <f>$C$10</f>
        <v>Sobremesa</v>
      </c>
      <c r="D247" s="30"/>
      <c r="E247" s="67" t="s">
        <v>326</v>
      </c>
      <c r="F247" s="42" t="s">
        <v>621</v>
      </c>
      <c r="G247" s="58" t="s">
        <v>622</v>
      </c>
      <c r="H247" s="58" t="s">
        <v>623</v>
      </c>
      <c r="I247" s="58" t="s">
        <v>624</v>
      </c>
      <c r="J247" s="58" t="s">
        <v>625</v>
      </c>
      <c r="K247" s="58" t="s">
        <v>626</v>
      </c>
      <c r="L247" s="58" t="s">
        <v>627</v>
      </c>
      <c r="M247" s="58" t="s">
        <v>628</v>
      </c>
      <c r="N247" s="17" t="s">
        <v>337</v>
      </c>
    </row>
    <row r="248" spans="1:14" ht="20.100000000000001" customHeight="1">
      <c r="A248" s="163"/>
      <c r="B248" s="19">
        <v>0</v>
      </c>
      <c r="C248" s="38" t="str">
        <f>$C$11</f>
        <v>Pão</v>
      </c>
      <c r="D248" s="30"/>
      <c r="E248" s="68" t="s">
        <v>297</v>
      </c>
      <c r="F248" s="156" t="s">
        <v>377</v>
      </c>
      <c r="G248" s="157"/>
      <c r="H248" s="157"/>
      <c r="I248" s="157"/>
      <c r="J248" s="157"/>
      <c r="K248" s="157"/>
      <c r="L248" s="157"/>
      <c r="M248" s="158"/>
      <c r="N248" s="16"/>
    </row>
    <row r="249" spans="1:14" ht="20.100000000000001" customHeight="1">
      <c r="A249" s="32"/>
      <c r="B249" s="28">
        <v>0</v>
      </c>
      <c r="C249" s="33"/>
      <c r="D249" s="30"/>
      <c r="E249" s="69"/>
      <c r="F249" s="34"/>
      <c r="G249" s="34"/>
      <c r="H249" s="34"/>
      <c r="I249" s="34"/>
      <c r="J249" s="34"/>
      <c r="K249" s="34"/>
      <c r="L249" s="34"/>
      <c r="M249" s="34"/>
      <c r="N249" s="4"/>
    </row>
    <row r="250" spans="1:14" ht="20.100000000000001" customHeight="1" thickBot="1">
      <c r="A250" s="35"/>
      <c r="B250" s="19">
        <v>0</v>
      </c>
      <c r="C250" s="36"/>
      <c r="D250" s="30"/>
      <c r="E250" s="66"/>
      <c r="F250" s="41" t="s">
        <v>370</v>
      </c>
      <c r="G250" s="41" t="s">
        <v>371</v>
      </c>
      <c r="H250" s="41" t="s">
        <v>372</v>
      </c>
      <c r="I250" s="41" t="s">
        <v>373</v>
      </c>
      <c r="J250" s="41" t="s">
        <v>374</v>
      </c>
      <c r="K250" s="41" t="s">
        <v>602</v>
      </c>
      <c r="L250" s="41" t="s">
        <v>603</v>
      </c>
      <c r="M250" s="41" t="s">
        <v>376</v>
      </c>
      <c r="N250" s="13"/>
    </row>
    <row r="251" spans="1:14" ht="20.100000000000001" customHeight="1" thickTop="1">
      <c r="A251" s="159" t="s">
        <v>296</v>
      </c>
      <c r="B251" s="28">
        <v>0</v>
      </c>
      <c r="C251" s="37" t="str">
        <f>$C$7</f>
        <v>Sopa</v>
      </c>
      <c r="D251" s="30"/>
      <c r="E251" s="74" t="s">
        <v>429</v>
      </c>
      <c r="F251" s="57">
        <v>430.2</v>
      </c>
      <c r="G251" s="57">
        <v>102.8</v>
      </c>
      <c r="H251" s="57">
        <v>3.4</v>
      </c>
      <c r="I251" s="57">
        <v>0.6</v>
      </c>
      <c r="J251" s="57">
        <v>14.4</v>
      </c>
      <c r="K251" s="57">
        <v>3.3</v>
      </c>
      <c r="L251" s="57">
        <v>3.4</v>
      </c>
      <c r="M251" s="57">
        <v>0.2</v>
      </c>
      <c r="N251" s="17" t="s">
        <v>337</v>
      </c>
    </row>
    <row r="252" spans="1:14" ht="22.5" customHeight="1">
      <c r="A252" s="163"/>
      <c r="B252" s="19">
        <v>0</v>
      </c>
      <c r="C252" s="45" t="s">
        <v>290</v>
      </c>
      <c r="D252" s="30"/>
      <c r="E252" s="74" t="s">
        <v>212</v>
      </c>
      <c r="F252" s="57">
        <v>3066.9</v>
      </c>
      <c r="G252" s="57">
        <v>732.9</v>
      </c>
      <c r="H252" s="57">
        <v>18</v>
      </c>
      <c r="I252" s="57">
        <v>4.5999999999999996</v>
      </c>
      <c r="J252" s="57">
        <v>81.2</v>
      </c>
      <c r="K252" s="57">
        <v>8</v>
      </c>
      <c r="L252" s="57">
        <v>59.6</v>
      </c>
      <c r="M252" s="57">
        <v>0.7</v>
      </c>
      <c r="N252" s="17" t="s">
        <v>337</v>
      </c>
    </row>
    <row r="253" spans="1:14" ht="20.100000000000001" customHeight="1">
      <c r="A253" s="163"/>
      <c r="B253" s="28">
        <v>0</v>
      </c>
      <c r="C253" s="45" t="s">
        <v>174</v>
      </c>
      <c r="D253" s="30"/>
      <c r="E253" s="74" t="s">
        <v>437</v>
      </c>
      <c r="F253" s="57">
        <f>70.4+163.3+40</f>
        <v>273.70000000000005</v>
      </c>
      <c r="G253" s="42">
        <f>16.8+39.2+9.6</f>
        <v>65.599999999999994</v>
      </c>
      <c r="H253" s="42">
        <f>0.6+0.5+0.2</f>
        <v>1.3</v>
      </c>
      <c r="I253" s="42">
        <v>0.1</v>
      </c>
      <c r="J253" s="42">
        <f>1.6+7.1+1.8</f>
        <v>10.5</v>
      </c>
      <c r="K253" s="42">
        <f>1.2+1.8</f>
        <v>3</v>
      </c>
      <c r="L253" s="42">
        <f>1.4+1.5+4</f>
        <v>6.9</v>
      </c>
      <c r="M253" s="42">
        <v>0</v>
      </c>
      <c r="N253" s="16" t="s">
        <v>337</v>
      </c>
    </row>
    <row r="254" spans="1:14" ht="25.5" customHeight="1">
      <c r="A254" s="163"/>
      <c r="B254" s="19">
        <v>0</v>
      </c>
      <c r="C254" s="38" t="str">
        <f>$C$10</f>
        <v>Sobremesa</v>
      </c>
      <c r="D254" s="30"/>
      <c r="E254" s="74" t="s">
        <v>298</v>
      </c>
      <c r="F254" s="57">
        <v>319.7</v>
      </c>
      <c r="G254" s="57">
        <v>76.400000000000006</v>
      </c>
      <c r="H254" s="57">
        <v>0.5</v>
      </c>
      <c r="I254" s="57">
        <v>0.2</v>
      </c>
      <c r="J254" s="57">
        <v>16.899999999999999</v>
      </c>
      <c r="K254" s="57">
        <v>16.7</v>
      </c>
      <c r="L254" s="57">
        <v>1.1000000000000001</v>
      </c>
      <c r="M254" s="57">
        <v>0</v>
      </c>
      <c r="N254" s="17" t="s">
        <v>337</v>
      </c>
    </row>
    <row r="255" spans="1:14" ht="20.100000000000001" customHeight="1">
      <c r="A255" s="163"/>
      <c r="B255" s="28">
        <v>0</v>
      </c>
      <c r="C255" s="38" t="str">
        <f>$C$11</f>
        <v>Pão</v>
      </c>
      <c r="D255" s="30"/>
      <c r="E255" s="68" t="s">
        <v>297</v>
      </c>
      <c r="F255" s="156" t="s">
        <v>377</v>
      </c>
      <c r="G255" s="157"/>
      <c r="H255" s="157"/>
      <c r="I255" s="157"/>
      <c r="J255" s="157"/>
      <c r="K255" s="157"/>
      <c r="L255" s="157"/>
      <c r="M255" s="158"/>
      <c r="N255" s="16"/>
    </row>
    <row r="256" spans="1:14" ht="123" customHeight="1">
      <c r="A256" s="167" t="str">
        <f>+A$40</f>
        <v xml:space="preserve">
A sua refeição contém ou pode conter as seguintes substâncias ou produtos e seus derivados: 1Cereais que contêm glúten, 2Crustáceos , 3Ovos, 4Peixes, 5Amendoins, 6Soja, 7Leite, 8Frutos de casca rija, 9Aipo, 10Mostarda, 11Sementes de sésamo, 12Dióxido de enxofre e sulfitos, 13Tremoço, 14Moluscos. 
Para quem não é alérgico ou intolerante, estas substâncias ou produtos são completamente inofensivas. 
Caso necessite informação adicional sobre os produtos em causa deve solicitar aos funcionários.
Declaração nutricional: valores médios de 100 g ou 100 ml, calculados a partir dos valores médios conhecidos dos ingredientes utilizados, segundo o Instituto Nacional de Saúde Dr. Ricardo Jorge, Tabela da Composição de Alimentos (2007), e a informação disponibilizada pelos fornecedores.
Legenda: VE - Valor energético, Líp. - Lípidos, AG Sat. - Ácidos Gordos Saturados, HC - Hidratos de Carbono, Prot. - Proteínas.
</v>
      </c>
      <c r="B256" s="168"/>
      <c r="C256" s="168"/>
      <c r="D256" s="168"/>
      <c r="E256" s="168"/>
      <c r="F256" s="168"/>
      <c r="G256" s="168"/>
      <c r="H256" s="168"/>
      <c r="I256" s="168"/>
      <c r="J256" s="168"/>
      <c r="K256" s="168"/>
      <c r="L256" s="168"/>
      <c r="M256" s="168"/>
      <c r="N256" s="5"/>
    </row>
    <row r="257" spans="1:14" ht="39.950000000000003" customHeight="1">
      <c r="B257" s="19">
        <v>0</v>
      </c>
      <c r="C257" s="61" t="s">
        <v>390</v>
      </c>
      <c r="D257" s="26"/>
      <c r="E257" s="70" t="s">
        <v>185</v>
      </c>
      <c r="F257" s="39"/>
      <c r="G257" s="39"/>
      <c r="H257" s="39"/>
      <c r="I257" s="39"/>
      <c r="J257" s="39"/>
      <c r="K257" s="39"/>
      <c r="L257" s="39"/>
      <c r="M257" s="39"/>
      <c r="N257" s="14"/>
    </row>
    <row r="258" spans="1:14" ht="20.100000000000001" customHeight="1" thickBot="1">
      <c r="B258" s="28">
        <v>0</v>
      </c>
      <c r="E258" s="66"/>
      <c r="F258" s="41" t="s">
        <v>370</v>
      </c>
      <c r="G258" s="41" t="s">
        <v>371</v>
      </c>
      <c r="H258" s="41" t="s">
        <v>372</v>
      </c>
      <c r="I258" s="41" t="s">
        <v>373</v>
      </c>
      <c r="J258" s="41" t="s">
        <v>374</v>
      </c>
      <c r="K258" s="41" t="s">
        <v>602</v>
      </c>
      <c r="L258" s="41" t="s">
        <v>603</v>
      </c>
      <c r="M258" s="41" t="s">
        <v>376</v>
      </c>
      <c r="N258" s="13"/>
    </row>
    <row r="259" spans="1:14" ht="20.100000000000001" customHeight="1" thickTop="1">
      <c r="A259" s="159" t="s">
        <v>288</v>
      </c>
      <c r="B259" s="19">
        <v>0</v>
      </c>
      <c r="C259" s="29" t="s">
        <v>289</v>
      </c>
      <c r="D259" s="30"/>
      <c r="E259" s="67" t="s">
        <v>441</v>
      </c>
      <c r="F259" s="57">
        <v>263.10000000000002</v>
      </c>
      <c r="G259" s="57">
        <v>62.9</v>
      </c>
      <c r="H259" s="57">
        <v>3.4</v>
      </c>
      <c r="I259" s="57">
        <v>0.5</v>
      </c>
      <c r="J259" s="57">
        <v>5.4</v>
      </c>
      <c r="K259" s="57">
        <v>4.7</v>
      </c>
      <c r="L259" s="57">
        <v>2.9</v>
      </c>
      <c r="M259" s="57">
        <v>0.2</v>
      </c>
      <c r="N259" s="17" t="s">
        <v>337</v>
      </c>
    </row>
    <row r="260" spans="1:14" ht="45.75" customHeight="1">
      <c r="A260" s="163"/>
      <c r="B260" s="28">
        <v>0</v>
      </c>
      <c r="C260" s="45" t="s">
        <v>290</v>
      </c>
      <c r="D260" s="30"/>
      <c r="E260" s="67" t="s">
        <v>213</v>
      </c>
      <c r="F260" s="42">
        <f>947.3+1033.2</f>
        <v>1980.5</v>
      </c>
      <c r="G260" s="42">
        <f>226.4+246.9</f>
        <v>473.3</v>
      </c>
      <c r="H260" s="42">
        <f>12.3+3.4</f>
        <v>15.700000000000001</v>
      </c>
      <c r="I260" s="42">
        <v>2</v>
      </c>
      <c r="J260" s="42">
        <v>48.4</v>
      </c>
      <c r="K260" s="42">
        <v>1.4</v>
      </c>
      <c r="L260" s="42">
        <f>29+4.4</f>
        <v>33.4</v>
      </c>
      <c r="M260" s="42">
        <v>0.6</v>
      </c>
      <c r="N260" s="17" t="s">
        <v>337</v>
      </c>
    </row>
    <row r="261" spans="1:14" ht="20.100000000000001" customHeight="1">
      <c r="A261" s="163"/>
      <c r="B261" s="19">
        <v>0</v>
      </c>
      <c r="C261" s="45" t="s">
        <v>174</v>
      </c>
      <c r="D261" s="30"/>
      <c r="E261" s="67" t="s">
        <v>445</v>
      </c>
      <c r="F261" s="57">
        <f>28.5+23+40</f>
        <v>91.5</v>
      </c>
      <c r="G261" s="42">
        <f>6.8+5.5+9.6</f>
        <v>21.9</v>
      </c>
      <c r="H261" s="42">
        <v>0.4</v>
      </c>
      <c r="I261" s="42">
        <v>0</v>
      </c>
      <c r="J261" s="42">
        <f>1.2+0.7+1.8</f>
        <v>3.7</v>
      </c>
      <c r="K261" s="42">
        <f>1+0.6+1.8</f>
        <v>3.4000000000000004</v>
      </c>
      <c r="L261" s="42">
        <f>0.6+0.4+0.4</f>
        <v>1.4</v>
      </c>
      <c r="M261" s="42">
        <v>0</v>
      </c>
      <c r="N261" s="16" t="s">
        <v>337</v>
      </c>
    </row>
    <row r="262" spans="1:14" ht="20.100000000000001" customHeight="1">
      <c r="A262" s="163"/>
      <c r="B262" s="28">
        <v>0</v>
      </c>
      <c r="C262" s="31" t="s">
        <v>291</v>
      </c>
      <c r="D262" s="30"/>
      <c r="E262" s="67" t="s">
        <v>314</v>
      </c>
      <c r="F262" s="42" t="s">
        <v>621</v>
      </c>
      <c r="G262" s="58" t="s">
        <v>622</v>
      </c>
      <c r="H262" s="58" t="s">
        <v>623</v>
      </c>
      <c r="I262" s="58" t="s">
        <v>624</v>
      </c>
      <c r="J262" s="58" t="s">
        <v>625</v>
      </c>
      <c r="K262" s="58" t="s">
        <v>626</v>
      </c>
      <c r="L262" s="58" t="s">
        <v>627</v>
      </c>
      <c r="M262" s="58" t="s">
        <v>628</v>
      </c>
      <c r="N262" s="17" t="s">
        <v>337</v>
      </c>
    </row>
    <row r="263" spans="1:14" ht="20.100000000000001" customHeight="1">
      <c r="A263" s="163"/>
      <c r="B263" s="19">
        <v>0</v>
      </c>
      <c r="C263" s="31" t="s">
        <v>292</v>
      </c>
      <c r="D263" s="30"/>
      <c r="E263" s="68" t="s">
        <v>297</v>
      </c>
      <c r="F263" s="156" t="s">
        <v>377</v>
      </c>
      <c r="G263" s="157"/>
      <c r="H263" s="157"/>
      <c r="I263" s="157"/>
      <c r="J263" s="157"/>
      <c r="K263" s="157"/>
      <c r="L263" s="157"/>
      <c r="M263" s="158"/>
      <c r="N263" s="16"/>
    </row>
    <row r="264" spans="1:14" ht="20.100000000000001" customHeight="1">
      <c r="A264" s="32"/>
      <c r="B264" s="28">
        <v>0</v>
      </c>
      <c r="C264" s="33"/>
      <c r="D264" s="30"/>
      <c r="E264" s="69"/>
      <c r="F264" s="34"/>
      <c r="G264" s="34"/>
      <c r="H264" s="34"/>
      <c r="I264" s="34"/>
      <c r="J264" s="34"/>
      <c r="K264" s="34"/>
      <c r="L264" s="34"/>
      <c r="M264" s="34"/>
      <c r="N264" s="4"/>
    </row>
    <row r="265" spans="1:14" ht="20.100000000000001" customHeight="1" thickBot="1">
      <c r="A265" s="35"/>
      <c r="B265" s="19">
        <v>0</v>
      </c>
      <c r="C265" s="36"/>
      <c r="D265" s="30"/>
      <c r="E265" s="66"/>
      <c r="F265" s="41" t="s">
        <v>370</v>
      </c>
      <c r="G265" s="41" t="s">
        <v>371</v>
      </c>
      <c r="H265" s="41" t="s">
        <v>372</v>
      </c>
      <c r="I265" s="41" t="s">
        <v>373</v>
      </c>
      <c r="J265" s="41" t="s">
        <v>374</v>
      </c>
      <c r="K265" s="41" t="s">
        <v>602</v>
      </c>
      <c r="L265" s="41" t="s">
        <v>603</v>
      </c>
      <c r="M265" s="41" t="s">
        <v>376</v>
      </c>
      <c r="N265" s="13"/>
    </row>
    <row r="266" spans="1:14" ht="20.100000000000001" customHeight="1" thickTop="1">
      <c r="A266" s="159" t="s">
        <v>293</v>
      </c>
      <c r="B266" s="28">
        <v>0</v>
      </c>
      <c r="C266" s="37" t="str">
        <f>$C$7</f>
        <v>Sopa</v>
      </c>
      <c r="D266" s="30"/>
      <c r="E266" s="74" t="s">
        <v>301</v>
      </c>
      <c r="F266" s="42">
        <v>465.7</v>
      </c>
      <c r="G266" s="42">
        <v>111.3</v>
      </c>
      <c r="H266" s="42">
        <v>3.6</v>
      </c>
      <c r="I266" s="42">
        <v>0.6</v>
      </c>
      <c r="J266" s="42">
        <v>15.8</v>
      </c>
      <c r="K266" s="42">
        <v>4.2</v>
      </c>
      <c r="L266" s="42">
        <v>3.8</v>
      </c>
      <c r="M266" s="42">
        <v>0.3</v>
      </c>
      <c r="N266" s="17" t="s">
        <v>337</v>
      </c>
    </row>
    <row r="267" spans="1:14" ht="42" customHeight="1">
      <c r="A267" s="163"/>
      <c r="B267" s="19">
        <v>0</v>
      </c>
      <c r="C267" s="45" t="s">
        <v>290</v>
      </c>
      <c r="D267" s="30"/>
      <c r="E267" s="74" t="s">
        <v>257</v>
      </c>
      <c r="F267" s="42">
        <v>889.4</v>
      </c>
      <c r="G267" s="42">
        <v>212.6</v>
      </c>
      <c r="H267" s="42">
        <v>8.3000000000000007</v>
      </c>
      <c r="I267" s="42">
        <v>2.7</v>
      </c>
      <c r="J267" s="42">
        <v>0.7</v>
      </c>
      <c r="K267" s="42">
        <v>0.6</v>
      </c>
      <c r="L267" s="42">
        <v>33.799999999999997</v>
      </c>
      <c r="M267" s="42">
        <v>0.3</v>
      </c>
      <c r="N267" s="17" t="s">
        <v>337</v>
      </c>
    </row>
    <row r="268" spans="1:14" ht="20.100000000000001" customHeight="1">
      <c r="A268" s="163"/>
      <c r="B268" s="28">
        <v>0</v>
      </c>
      <c r="C268" s="45" t="s">
        <v>174</v>
      </c>
      <c r="D268" s="30"/>
      <c r="E268" s="74" t="s">
        <v>446</v>
      </c>
      <c r="F268" s="42">
        <f>20+32.4+163.3</f>
        <v>215.70000000000002</v>
      </c>
      <c r="G268" s="42">
        <f>4.8+7.7+39.2</f>
        <v>51.7</v>
      </c>
      <c r="H268" s="42">
        <v>0.6</v>
      </c>
      <c r="I268" s="42">
        <v>0</v>
      </c>
      <c r="J268" s="42">
        <f>0.3+1.8+7.1</f>
        <v>9.1999999999999993</v>
      </c>
      <c r="K268" s="42">
        <f>0.3+1.6</f>
        <v>1.9000000000000001</v>
      </c>
      <c r="L268" s="42">
        <f>0.7+0.2+1.5</f>
        <v>2.4</v>
      </c>
      <c r="M268" s="42">
        <v>0.1</v>
      </c>
      <c r="N268" s="16" t="s">
        <v>337</v>
      </c>
    </row>
    <row r="269" spans="1:14" ht="20.100000000000001" customHeight="1">
      <c r="A269" s="163"/>
      <c r="B269" s="19">
        <v>0</v>
      </c>
      <c r="C269" s="38" t="str">
        <f>$C$10</f>
        <v>Sobremesa</v>
      </c>
      <c r="D269" s="30"/>
      <c r="E269" s="74" t="s">
        <v>298</v>
      </c>
      <c r="F269" s="42">
        <v>319.7</v>
      </c>
      <c r="G269" s="58">
        <v>76.400000000000006</v>
      </c>
      <c r="H269" s="58">
        <v>0.5</v>
      </c>
      <c r="I269" s="58">
        <v>0.2</v>
      </c>
      <c r="J269" s="58">
        <v>16.899999999999999</v>
      </c>
      <c r="K269" s="58">
        <v>16.7</v>
      </c>
      <c r="L269" s="58">
        <v>1.1000000000000001</v>
      </c>
      <c r="M269" s="58">
        <v>0</v>
      </c>
      <c r="N269" s="17" t="s">
        <v>337</v>
      </c>
    </row>
    <row r="270" spans="1:14" ht="20.100000000000001" customHeight="1">
      <c r="A270" s="163"/>
      <c r="B270" s="28">
        <v>0</v>
      </c>
      <c r="C270" s="38" t="str">
        <f>$C$11</f>
        <v>Pão</v>
      </c>
      <c r="D270" s="30"/>
      <c r="E270" s="68" t="s">
        <v>297</v>
      </c>
      <c r="F270" s="156" t="s">
        <v>377</v>
      </c>
      <c r="G270" s="157"/>
      <c r="H270" s="157"/>
      <c r="I270" s="157"/>
      <c r="J270" s="157"/>
      <c r="K270" s="157"/>
      <c r="L270" s="157"/>
      <c r="M270" s="158"/>
      <c r="N270" s="16"/>
    </row>
    <row r="271" spans="1:14" ht="20.100000000000001" customHeight="1">
      <c r="A271" s="32"/>
      <c r="B271" s="19">
        <v>0</v>
      </c>
      <c r="C271" s="33"/>
      <c r="D271" s="30"/>
      <c r="E271" s="69"/>
      <c r="F271" s="34"/>
      <c r="G271" s="34"/>
      <c r="H271" s="34"/>
      <c r="I271" s="34"/>
      <c r="J271" s="34"/>
      <c r="K271" s="34"/>
      <c r="L271" s="34"/>
      <c r="M271" s="34"/>
      <c r="N271" s="4"/>
    </row>
    <row r="272" spans="1:14" ht="20.100000000000001" customHeight="1" thickBot="1">
      <c r="A272" s="35"/>
      <c r="B272" s="28">
        <v>0</v>
      </c>
      <c r="C272" s="36"/>
      <c r="D272" s="30"/>
      <c r="F272" s="41" t="s">
        <v>370</v>
      </c>
      <c r="G272" s="41" t="s">
        <v>371</v>
      </c>
      <c r="H272" s="41" t="s">
        <v>372</v>
      </c>
      <c r="I272" s="41" t="s">
        <v>373</v>
      </c>
      <c r="J272" s="41" t="s">
        <v>374</v>
      </c>
      <c r="K272" s="41" t="s">
        <v>602</v>
      </c>
      <c r="L272" s="41" t="s">
        <v>603</v>
      </c>
      <c r="M272" s="41" t="s">
        <v>376</v>
      </c>
      <c r="N272" s="13"/>
    </row>
    <row r="273" spans="1:14" ht="20.100000000000001" customHeight="1" thickTop="1">
      <c r="A273" s="159" t="s">
        <v>294</v>
      </c>
      <c r="B273" s="19">
        <v>0</v>
      </c>
      <c r="C273" s="37" t="str">
        <f>$C$7</f>
        <v>Sopa</v>
      </c>
      <c r="D273" s="30"/>
      <c r="E273" s="74" t="s">
        <v>442</v>
      </c>
      <c r="F273" s="42">
        <v>909.5</v>
      </c>
      <c r="G273" s="42">
        <v>217.6</v>
      </c>
      <c r="H273" s="42">
        <v>3.8</v>
      </c>
      <c r="I273" s="42">
        <v>0.6</v>
      </c>
      <c r="J273" s="42">
        <v>33</v>
      </c>
      <c r="K273" s="42">
        <v>5.3</v>
      </c>
      <c r="L273" s="42">
        <v>12.1</v>
      </c>
      <c r="M273" s="42">
        <v>0.2</v>
      </c>
      <c r="N273" s="17" t="s">
        <v>337</v>
      </c>
    </row>
    <row r="274" spans="1:14" ht="20.100000000000001" customHeight="1">
      <c r="A274" s="163"/>
      <c r="B274" s="28">
        <v>0</v>
      </c>
      <c r="C274" s="45" t="s">
        <v>290</v>
      </c>
      <c r="D274" s="30"/>
      <c r="E274" s="74" t="s">
        <v>214</v>
      </c>
      <c r="F274" s="57">
        <f>667.1+787.2</f>
        <v>1454.3000000000002</v>
      </c>
      <c r="G274" s="42">
        <f>188.1+159.4</f>
        <v>347.5</v>
      </c>
      <c r="H274" s="42">
        <f>0.1+3.9</f>
        <v>4</v>
      </c>
      <c r="I274" s="42">
        <v>0.6</v>
      </c>
      <c r="J274" s="42">
        <f>39.9+0.7</f>
        <v>40.6</v>
      </c>
      <c r="K274" s="42">
        <f>0.6+3.2</f>
        <v>3.8000000000000003</v>
      </c>
      <c r="L274" s="42">
        <f>30.4+5.8</f>
        <v>36.199999999999996</v>
      </c>
      <c r="M274" s="42">
        <v>0.6</v>
      </c>
      <c r="N274" s="17" t="s">
        <v>337</v>
      </c>
    </row>
    <row r="275" spans="1:14" ht="20.100000000000001" customHeight="1">
      <c r="A275" s="163"/>
      <c r="B275" s="19">
        <v>0</v>
      </c>
      <c r="C275" s="45" t="s">
        <v>174</v>
      </c>
      <c r="D275" s="30"/>
      <c r="E275" s="67" t="s">
        <v>398</v>
      </c>
      <c r="F275" s="42">
        <f>20+25.6+40</f>
        <v>85.6</v>
      </c>
      <c r="G275" s="42">
        <f>4.8+6.1+9.6</f>
        <v>20.5</v>
      </c>
      <c r="H275" s="42">
        <f>0.1+0.2+0.2</f>
        <v>0.5</v>
      </c>
      <c r="I275" s="42">
        <v>0.1</v>
      </c>
      <c r="J275" s="42">
        <f>0.3+0.6+1.8</f>
        <v>2.7</v>
      </c>
      <c r="K275" s="42">
        <f>0.3+0.6+1.8</f>
        <v>2.7</v>
      </c>
      <c r="L275" s="42">
        <f>0.7+0.5+0.4</f>
        <v>1.6</v>
      </c>
      <c r="M275" s="42">
        <v>0</v>
      </c>
      <c r="N275" s="16" t="s">
        <v>337</v>
      </c>
    </row>
    <row r="276" spans="1:14" ht="20.100000000000001" customHeight="1">
      <c r="A276" s="163"/>
      <c r="B276" s="28">
        <v>0</v>
      </c>
      <c r="C276" s="38" t="str">
        <f>$C$10</f>
        <v>Sobremesa</v>
      </c>
      <c r="D276" s="30"/>
      <c r="E276" s="67" t="s">
        <v>448</v>
      </c>
      <c r="F276" s="42" t="s">
        <v>629</v>
      </c>
      <c r="G276" s="58" t="s">
        <v>630</v>
      </c>
      <c r="H276" s="58" t="s">
        <v>631</v>
      </c>
      <c r="I276" s="58" t="s">
        <v>632</v>
      </c>
      <c r="J276" s="58" t="s">
        <v>633</v>
      </c>
      <c r="K276" s="58" t="s">
        <v>618</v>
      </c>
      <c r="L276" s="58" t="s">
        <v>634</v>
      </c>
      <c r="M276" s="58" t="s">
        <v>620</v>
      </c>
      <c r="N276" s="17" t="s">
        <v>337</v>
      </c>
    </row>
    <row r="277" spans="1:14" ht="20.100000000000001" customHeight="1">
      <c r="A277" s="163"/>
      <c r="B277" s="19">
        <v>0</v>
      </c>
      <c r="C277" s="38" t="str">
        <f>$C$11</f>
        <v>Pão</v>
      </c>
      <c r="D277" s="30"/>
      <c r="E277" s="68" t="s">
        <v>297</v>
      </c>
      <c r="F277" s="156" t="s">
        <v>377</v>
      </c>
      <c r="G277" s="157"/>
      <c r="H277" s="157"/>
      <c r="I277" s="157"/>
      <c r="J277" s="157"/>
      <c r="K277" s="157"/>
      <c r="L277" s="157"/>
      <c r="M277" s="158"/>
      <c r="N277" s="16"/>
    </row>
    <row r="278" spans="1:14" ht="20.100000000000001" customHeight="1">
      <c r="A278" s="32"/>
      <c r="B278" s="28">
        <v>0</v>
      </c>
      <c r="C278" s="33"/>
      <c r="D278" s="30"/>
      <c r="E278" s="69"/>
      <c r="F278" s="34"/>
      <c r="G278" s="34"/>
      <c r="H278" s="34"/>
      <c r="I278" s="34"/>
      <c r="J278" s="34"/>
      <c r="K278" s="34"/>
      <c r="L278" s="34"/>
      <c r="M278" s="34"/>
      <c r="N278" s="4"/>
    </row>
    <row r="279" spans="1:14" ht="20.100000000000001" customHeight="1" thickBot="1">
      <c r="A279" s="35"/>
      <c r="B279" s="19">
        <v>0</v>
      </c>
      <c r="C279" s="36"/>
      <c r="D279" s="30"/>
      <c r="E279" s="66"/>
      <c r="F279" s="41" t="s">
        <v>370</v>
      </c>
      <c r="G279" s="41" t="s">
        <v>371</v>
      </c>
      <c r="H279" s="41" t="s">
        <v>372</v>
      </c>
      <c r="I279" s="41" t="s">
        <v>373</v>
      </c>
      <c r="J279" s="41" t="s">
        <v>374</v>
      </c>
      <c r="K279" s="41" t="s">
        <v>602</v>
      </c>
      <c r="L279" s="41" t="s">
        <v>603</v>
      </c>
      <c r="M279" s="41" t="s">
        <v>376</v>
      </c>
      <c r="N279" s="13"/>
    </row>
    <row r="280" spans="1:14" ht="18.75" thickTop="1">
      <c r="A280" s="159" t="s">
        <v>295</v>
      </c>
      <c r="B280" s="28">
        <v>0</v>
      </c>
      <c r="C280" s="37" t="str">
        <f>$C$7</f>
        <v>Sopa</v>
      </c>
      <c r="D280" s="30"/>
      <c r="E280" s="74" t="s">
        <v>443</v>
      </c>
      <c r="F280" s="42">
        <v>886.6</v>
      </c>
      <c r="G280" s="42">
        <v>212.1</v>
      </c>
      <c r="H280" s="42">
        <v>3.7</v>
      </c>
      <c r="I280" s="42">
        <v>0.6</v>
      </c>
      <c r="J280" s="42">
        <v>32.700000000000003</v>
      </c>
      <c r="K280" s="42">
        <v>5</v>
      </c>
      <c r="L280" s="42">
        <v>11.4</v>
      </c>
      <c r="M280" s="42">
        <v>0.2</v>
      </c>
      <c r="N280" s="17" t="s">
        <v>337</v>
      </c>
    </row>
    <row r="281" spans="1:14" ht="19.5" customHeight="1">
      <c r="A281" s="163"/>
      <c r="B281" s="19">
        <v>0</v>
      </c>
      <c r="C281" s="45" t="s">
        <v>290</v>
      </c>
      <c r="D281" s="30"/>
      <c r="E281" s="74" t="s">
        <v>215</v>
      </c>
      <c r="F281" s="57">
        <f>808.7+1300.2</f>
        <v>2108.9</v>
      </c>
      <c r="G281" s="57">
        <f>193.3+310.7</f>
        <v>504</v>
      </c>
      <c r="H281" s="57">
        <f>3.8+3.3</f>
        <v>7.1</v>
      </c>
      <c r="I281" s="57">
        <f>0.5+1</f>
        <v>1.5</v>
      </c>
      <c r="J281" s="57">
        <f>1.5+62.8</f>
        <v>64.3</v>
      </c>
      <c r="K281" s="57">
        <f>1.4+0.2</f>
        <v>1.5999999999999999</v>
      </c>
      <c r="L281" s="57">
        <f>38.3+5.5</f>
        <v>43.8</v>
      </c>
      <c r="M281" s="57">
        <v>0.5</v>
      </c>
      <c r="N281" s="17" t="s">
        <v>337</v>
      </c>
    </row>
    <row r="282" spans="1:14" ht="20.100000000000001" customHeight="1">
      <c r="A282" s="163"/>
      <c r="B282" s="28">
        <v>0</v>
      </c>
      <c r="C282" s="45" t="s">
        <v>174</v>
      </c>
      <c r="D282" s="30"/>
      <c r="E282" s="74" t="s">
        <v>447</v>
      </c>
      <c r="F282" s="42">
        <f>32.4+28.5+40</f>
        <v>100.9</v>
      </c>
      <c r="G282" s="42">
        <f>7.7+6.8+9.6</f>
        <v>24.1</v>
      </c>
      <c r="H282" s="42">
        <v>0.2</v>
      </c>
      <c r="I282" s="42">
        <v>0</v>
      </c>
      <c r="J282" s="42">
        <f>1.8+1.2+1.8</f>
        <v>4.8</v>
      </c>
      <c r="K282" s="42">
        <f>1.6+1+1.8</f>
        <v>4.4000000000000004</v>
      </c>
      <c r="L282" s="42">
        <f>0.2+0.6+0.4</f>
        <v>1.2000000000000002</v>
      </c>
      <c r="M282" s="42">
        <v>0.1</v>
      </c>
      <c r="N282" s="16" t="s">
        <v>337</v>
      </c>
    </row>
    <row r="283" spans="1:14" ht="20.100000000000001" customHeight="1">
      <c r="A283" s="163"/>
      <c r="B283" s="19">
        <v>0</v>
      </c>
      <c r="C283" s="38" t="str">
        <f>$C$10</f>
        <v>Sobremesa</v>
      </c>
      <c r="D283" s="30"/>
      <c r="E283" s="74" t="s">
        <v>298</v>
      </c>
      <c r="F283" s="42">
        <v>319.7</v>
      </c>
      <c r="G283" s="58">
        <v>76.400000000000006</v>
      </c>
      <c r="H283" s="58">
        <v>0.5</v>
      </c>
      <c r="I283" s="58">
        <v>0.2</v>
      </c>
      <c r="J283" s="58">
        <v>16.899999999999999</v>
      </c>
      <c r="K283" s="58">
        <v>16.7</v>
      </c>
      <c r="L283" s="58">
        <v>1.1000000000000001</v>
      </c>
      <c r="M283" s="58">
        <v>0</v>
      </c>
      <c r="N283" s="17" t="s">
        <v>337</v>
      </c>
    </row>
    <row r="284" spans="1:14" ht="20.100000000000001" customHeight="1">
      <c r="A284" s="163"/>
      <c r="B284" s="28">
        <v>0</v>
      </c>
      <c r="C284" s="38" t="str">
        <f>$C$11</f>
        <v>Pão</v>
      </c>
      <c r="D284" s="30"/>
      <c r="E284" s="68" t="s">
        <v>297</v>
      </c>
      <c r="F284" s="156" t="s">
        <v>377</v>
      </c>
      <c r="G284" s="157"/>
      <c r="H284" s="157"/>
      <c r="I284" s="157"/>
      <c r="J284" s="157"/>
      <c r="K284" s="157"/>
      <c r="L284" s="157"/>
      <c r="M284" s="158"/>
      <c r="N284" s="16"/>
    </row>
    <row r="285" spans="1:14" ht="20.100000000000001" customHeight="1">
      <c r="A285" s="32"/>
      <c r="B285" s="19">
        <v>0</v>
      </c>
      <c r="C285" s="33"/>
      <c r="D285" s="30"/>
      <c r="E285" s="69"/>
      <c r="F285" s="34"/>
      <c r="G285" s="34"/>
      <c r="H285" s="34"/>
      <c r="I285" s="34"/>
      <c r="J285" s="34"/>
      <c r="K285" s="34"/>
      <c r="L285" s="34"/>
      <c r="M285" s="34"/>
      <c r="N285" s="4"/>
    </row>
    <row r="286" spans="1:14" ht="20.100000000000001" customHeight="1" thickBot="1">
      <c r="A286" s="35"/>
      <c r="B286" s="28">
        <v>0</v>
      </c>
      <c r="C286" s="36"/>
      <c r="D286" s="30"/>
      <c r="E286" s="66"/>
      <c r="F286" s="41" t="s">
        <v>370</v>
      </c>
      <c r="G286" s="41" t="s">
        <v>371</v>
      </c>
      <c r="H286" s="41" t="s">
        <v>372</v>
      </c>
      <c r="I286" s="41" t="s">
        <v>373</v>
      </c>
      <c r="J286" s="41" t="s">
        <v>374</v>
      </c>
      <c r="K286" s="41" t="s">
        <v>602</v>
      </c>
      <c r="L286" s="41" t="s">
        <v>603</v>
      </c>
      <c r="M286" s="41" t="s">
        <v>376</v>
      </c>
      <c r="N286" s="13"/>
    </row>
    <row r="287" spans="1:14" ht="20.100000000000001" customHeight="1" thickTop="1">
      <c r="A287" s="159" t="s">
        <v>296</v>
      </c>
      <c r="B287" s="19">
        <v>0</v>
      </c>
      <c r="C287" s="37" t="str">
        <f>$C$7</f>
        <v>Sopa</v>
      </c>
      <c r="D287" s="30"/>
      <c r="E287" s="67" t="s">
        <v>382</v>
      </c>
      <c r="F287" s="42">
        <v>798.5</v>
      </c>
      <c r="G287" s="42">
        <v>190.8</v>
      </c>
      <c r="H287" s="42">
        <v>6.7</v>
      </c>
      <c r="I287" s="42">
        <v>1.7</v>
      </c>
      <c r="J287" s="42">
        <v>25.2</v>
      </c>
      <c r="K287" s="42">
        <v>3.2</v>
      </c>
      <c r="L287" s="42">
        <v>6.8</v>
      </c>
      <c r="M287" s="42">
        <v>0.7</v>
      </c>
      <c r="N287" s="17" t="s">
        <v>337</v>
      </c>
    </row>
    <row r="288" spans="1:14" ht="44.25" customHeight="1">
      <c r="A288" s="163"/>
      <c r="B288" s="28">
        <v>0</v>
      </c>
      <c r="C288" s="45" t="s">
        <v>290</v>
      </c>
      <c r="D288" s="30"/>
      <c r="E288" s="74" t="s">
        <v>444</v>
      </c>
      <c r="F288" s="57">
        <f>691.5+1120</f>
        <v>1811.5</v>
      </c>
      <c r="G288" s="42">
        <f>165.3+267.7</f>
        <v>433</v>
      </c>
      <c r="H288" s="42">
        <f>3.9+3</f>
        <v>6.9</v>
      </c>
      <c r="I288" s="42">
        <f>0.6+0.4</f>
        <v>1</v>
      </c>
      <c r="J288" s="42">
        <f>2.1+51.8</f>
        <v>53.9</v>
      </c>
      <c r="K288" s="42">
        <f>1.9+3.2</f>
        <v>5.0999999999999996</v>
      </c>
      <c r="L288" s="42">
        <f>30.6+6.8</f>
        <v>37.4</v>
      </c>
      <c r="M288" s="42">
        <v>0.6</v>
      </c>
      <c r="N288" s="17" t="s">
        <v>337</v>
      </c>
    </row>
    <row r="289" spans="1:14" ht="20.100000000000001" customHeight="1">
      <c r="A289" s="163"/>
      <c r="B289" s="19">
        <v>0</v>
      </c>
      <c r="C289" s="45" t="s">
        <v>174</v>
      </c>
      <c r="D289" s="30"/>
      <c r="E289" s="74" t="s">
        <v>381</v>
      </c>
      <c r="F289" s="42">
        <f>20+30+163.3</f>
        <v>213.3</v>
      </c>
      <c r="G289" s="42">
        <f>4.8+7.2+39.2</f>
        <v>51.2</v>
      </c>
      <c r="H289" s="42">
        <v>0.6</v>
      </c>
      <c r="I289" s="42">
        <v>0</v>
      </c>
      <c r="J289" s="42">
        <f>0.3+1.4+7.1</f>
        <v>8.7999999999999989</v>
      </c>
      <c r="K289" s="42">
        <f>0.3+1.4</f>
        <v>1.7</v>
      </c>
      <c r="L289" s="42">
        <f>0.7+0.4+1.5</f>
        <v>2.6</v>
      </c>
      <c r="M289" s="42">
        <v>0.1</v>
      </c>
      <c r="N289" s="16" t="s">
        <v>337</v>
      </c>
    </row>
    <row r="290" spans="1:14" ht="18">
      <c r="A290" s="163"/>
      <c r="B290" s="28">
        <v>0</v>
      </c>
      <c r="C290" s="38" t="str">
        <f>$C$10</f>
        <v>Sobremesa</v>
      </c>
      <c r="D290" s="30"/>
      <c r="E290" s="74" t="s">
        <v>310</v>
      </c>
      <c r="F290" s="42">
        <v>319.7</v>
      </c>
      <c r="G290" s="58">
        <v>76.400000000000006</v>
      </c>
      <c r="H290" s="58">
        <v>0.5</v>
      </c>
      <c r="I290" s="58">
        <v>0.2</v>
      </c>
      <c r="J290" s="58">
        <v>16.899999999999999</v>
      </c>
      <c r="K290" s="58">
        <v>16.7</v>
      </c>
      <c r="L290" s="58">
        <v>1.1000000000000001</v>
      </c>
      <c r="M290" s="58">
        <v>0</v>
      </c>
      <c r="N290" s="17" t="s">
        <v>337</v>
      </c>
    </row>
    <row r="291" spans="1:14" ht="20.100000000000001" customHeight="1">
      <c r="A291" s="163"/>
      <c r="B291" s="19">
        <v>0</v>
      </c>
      <c r="C291" s="38" t="str">
        <f>$C$11</f>
        <v>Pão</v>
      </c>
      <c r="D291" s="30"/>
      <c r="E291" s="68" t="s">
        <v>297</v>
      </c>
      <c r="F291" s="156" t="s">
        <v>377</v>
      </c>
      <c r="G291" s="157"/>
      <c r="H291" s="157"/>
      <c r="I291" s="157"/>
      <c r="J291" s="157"/>
      <c r="K291" s="157"/>
      <c r="L291" s="157"/>
      <c r="M291" s="158"/>
      <c r="N291" s="16"/>
    </row>
    <row r="292" spans="1:14" ht="123" customHeight="1">
      <c r="A292" s="167" t="str">
        <f>+A$40</f>
        <v xml:space="preserve">
A sua refeição contém ou pode conter as seguintes substâncias ou produtos e seus derivados: 1Cereais que contêm glúten, 2Crustáceos , 3Ovos, 4Peixes, 5Amendoins, 6Soja, 7Leite, 8Frutos de casca rija, 9Aipo, 10Mostarda, 11Sementes de sésamo, 12Dióxido de enxofre e sulfitos, 13Tremoço, 14Moluscos. 
Para quem não é alérgico ou intolerante, estas substâncias ou produtos são completamente inofensivas. 
Caso necessite informação adicional sobre os produtos em causa deve solicitar aos funcionários.
Declaração nutricional: valores médios de 100 g ou 100 ml, calculados a partir dos valores médios conhecidos dos ingredientes utilizados, segundo o Instituto Nacional de Saúde Dr. Ricardo Jorge, Tabela da Composição de Alimentos (2007), e a informação disponibilizada pelos fornecedores.
Legenda: VE - Valor energético, Líp. - Lípidos, AG Sat. - Ácidos Gordos Saturados, HC - Hidratos de Carbono, Prot. - Proteínas.
</v>
      </c>
      <c r="B292" s="168"/>
      <c r="C292" s="168"/>
      <c r="D292" s="168"/>
      <c r="E292" s="168"/>
      <c r="F292" s="168"/>
      <c r="G292" s="168"/>
      <c r="H292" s="168"/>
      <c r="I292" s="168"/>
      <c r="J292" s="168"/>
      <c r="K292" s="168"/>
      <c r="L292" s="168"/>
      <c r="M292" s="168"/>
      <c r="N292" s="5"/>
    </row>
    <row r="293" spans="1:14" ht="39.950000000000003" customHeight="1">
      <c r="B293" s="19">
        <v>0</v>
      </c>
      <c r="C293" s="61" t="s">
        <v>391</v>
      </c>
      <c r="D293" s="26"/>
      <c r="E293" s="70" t="s">
        <v>186</v>
      </c>
      <c r="F293" s="39"/>
      <c r="G293" s="39"/>
      <c r="H293" s="39"/>
      <c r="I293" s="39"/>
      <c r="J293" s="39"/>
      <c r="K293" s="39"/>
      <c r="L293" s="39"/>
      <c r="M293" s="39"/>
      <c r="N293" s="14"/>
    </row>
    <row r="294" spans="1:14" ht="20.100000000000001" customHeight="1" thickBot="1">
      <c r="B294" s="28">
        <v>0</v>
      </c>
      <c r="E294" s="66"/>
      <c r="F294" s="41" t="s">
        <v>370</v>
      </c>
      <c r="G294" s="41" t="s">
        <v>371</v>
      </c>
      <c r="H294" s="41" t="s">
        <v>372</v>
      </c>
      <c r="I294" s="41" t="s">
        <v>373</v>
      </c>
      <c r="J294" s="41" t="s">
        <v>374</v>
      </c>
      <c r="K294" s="41" t="s">
        <v>602</v>
      </c>
      <c r="L294" s="41" t="s">
        <v>603</v>
      </c>
      <c r="M294" s="41" t="s">
        <v>376</v>
      </c>
      <c r="N294" s="13"/>
    </row>
    <row r="295" spans="1:14" ht="20.100000000000001" customHeight="1" thickTop="1">
      <c r="A295" s="159" t="s">
        <v>288</v>
      </c>
      <c r="B295" s="19">
        <v>0</v>
      </c>
      <c r="C295" s="29" t="s">
        <v>289</v>
      </c>
      <c r="D295" s="30"/>
      <c r="E295" s="67" t="s">
        <v>449</v>
      </c>
      <c r="F295" s="42">
        <v>274.60000000000002</v>
      </c>
      <c r="G295" s="42">
        <v>65.599999999999994</v>
      </c>
      <c r="H295" s="42">
        <v>3.5</v>
      </c>
      <c r="I295" s="42">
        <v>0.6</v>
      </c>
      <c r="J295" s="42">
        <v>6.5</v>
      </c>
      <c r="K295" s="42">
        <v>5.6</v>
      </c>
      <c r="L295" s="42">
        <v>2.2999999999999998</v>
      </c>
      <c r="M295" s="42">
        <v>0.2</v>
      </c>
      <c r="N295" s="17" t="s">
        <v>337</v>
      </c>
    </row>
    <row r="296" spans="1:14" ht="18" customHeight="1">
      <c r="A296" s="163"/>
      <c r="B296" s="28">
        <v>0</v>
      </c>
      <c r="C296" s="45" t="s">
        <v>290</v>
      </c>
      <c r="D296" s="30"/>
      <c r="E296" s="74" t="s">
        <v>450</v>
      </c>
      <c r="F296" s="42">
        <v>1019.2</v>
      </c>
      <c r="G296" s="42">
        <v>243.6</v>
      </c>
      <c r="H296" s="42">
        <v>13.2</v>
      </c>
      <c r="I296" s="42">
        <v>4.5</v>
      </c>
      <c r="J296" s="42">
        <v>0.7</v>
      </c>
      <c r="K296" s="42">
        <v>0.6</v>
      </c>
      <c r="L296" s="42">
        <v>30.5</v>
      </c>
      <c r="M296" s="42">
        <v>0.3</v>
      </c>
      <c r="N296" s="17" t="s">
        <v>337</v>
      </c>
    </row>
    <row r="297" spans="1:14" ht="20.100000000000001" customHeight="1">
      <c r="A297" s="163"/>
      <c r="B297" s="19">
        <v>0</v>
      </c>
      <c r="C297" s="45" t="s">
        <v>174</v>
      </c>
      <c r="D297" s="30"/>
      <c r="E297" s="74" t="s">
        <v>451</v>
      </c>
      <c r="F297" s="57">
        <f>20+32.4+40</f>
        <v>92.4</v>
      </c>
      <c r="G297" s="42">
        <f>4.8+7.7+9.6</f>
        <v>22.1</v>
      </c>
      <c r="H297" s="42">
        <f>0.1+0.2</f>
        <v>0.30000000000000004</v>
      </c>
      <c r="I297" s="42">
        <v>0</v>
      </c>
      <c r="J297" s="42">
        <f>0.3+1.8+1.8</f>
        <v>3.9000000000000004</v>
      </c>
      <c r="K297" s="42">
        <f>0.3+1.6+1.8</f>
        <v>3.7</v>
      </c>
      <c r="L297" s="42">
        <f>0.7+0.2+0.4</f>
        <v>1.2999999999999998</v>
      </c>
      <c r="M297" s="42">
        <v>0.1</v>
      </c>
      <c r="N297" s="16" t="s">
        <v>337</v>
      </c>
    </row>
    <row r="298" spans="1:14" ht="20.100000000000001" customHeight="1">
      <c r="A298" s="163"/>
      <c r="B298" s="28">
        <v>0</v>
      </c>
      <c r="C298" s="31" t="s">
        <v>291</v>
      </c>
      <c r="D298" s="30"/>
      <c r="E298" s="74" t="s">
        <v>298</v>
      </c>
      <c r="F298" s="42">
        <v>319.7</v>
      </c>
      <c r="G298" s="58">
        <v>76.400000000000006</v>
      </c>
      <c r="H298" s="58">
        <v>0.5</v>
      </c>
      <c r="I298" s="58">
        <v>0.2</v>
      </c>
      <c r="J298" s="58">
        <v>16.899999999999999</v>
      </c>
      <c r="K298" s="58">
        <v>16.7</v>
      </c>
      <c r="L298" s="58">
        <v>1.1000000000000001</v>
      </c>
      <c r="M298" s="58">
        <v>0</v>
      </c>
      <c r="N298" s="17" t="s">
        <v>337</v>
      </c>
    </row>
    <row r="299" spans="1:14" ht="20.100000000000001" customHeight="1">
      <c r="A299" s="163"/>
      <c r="B299" s="19">
        <v>0</v>
      </c>
      <c r="C299" s="31" t="s">
        <v>292</v>
      </c>
      <c r="D299" s="30"/>
      <c r="E299" s="68" t="s">
        <v>297</v>
      </c>
      <c r="F299" s="156" t="s">
        <v>377</v>
      </c>
      <c r="G299" s="157"/>
      <c r="H299" s="157"/>
      <c r="I299" s="157"/>
      <c r="J299" s="157"/>
      <c r="K299" s="157"/>
      <c r="L299" s="157"/>
      <c r="M299" s="158"/>
      <c r="N299" s="16"/>
    </row>
    <row r="300" spans="1:14" ht="20.100000000000001" customHeight="1">
      <c r="A300" s="32"/>
      <c r="B300" s="28">
        <v>0</v>
      </c>
      <c r="C300" s="33"/>
      <c r="D300" s="30"/>
      <c r="E300" s="69"/>
      <c r="F300" s="34"/>
      <c r="G300" s="34"/>
      <c r="H300" s="34"/>
      <c r="I300" s="34"/>
      <c r="J300" s="34"/>
      <c r="K300" s="34"/>
      <c r="L300" s="34"/>
      <c r="M300" s="34"/>
      <c r="N300" s="4"/>
    </row>
    <row r="301" spans="1:14" ht="20.100000000000001" customHeight="1" thickBot="1">
      <c r="A301" s="35"/>
      <c r="B301" s="19">
        <v>0</v>
      </c>
      <c r="C301" s="36"/>
      <c r="D301" s="30"/>
      <c r="E301" s="66"/>
      <c r="F301" s="41" t="s">
        <v>370</v>
      </c>
      <c r="G301" s="41" t="s">
        <v>371</v>
      </c>
      <c r="H301" s="41" t="s">
        <v>372</v>
      </c>
      <c r="I301" s="41" t="s">
        <v>373</v>
      </c>
      <c r="J301" s="41" t="s">
        <v>374</v>
      </c>
      <c r="K301" s="41" t="s">
        <v>602</v>
      </c>
      <c r="L301" s="41" t="s">
        <v>603</v>
      </c>
      <c r="M301" s="41" t="s">
        <v>376</v>
      </c>
      <c r="N301" s="13"/>
    </row>
    <row r="302" spans="1:14" ht="20.100000000000001" customHeight="1" thickTop="1">
      <c r="A302" s="159" t="s">
        <v>293</v>
      </c>
      <c r="B302" s="28">
        <v>0</v>
      </c>
      <c r="C302" s="37" t="str">
        <f>$C$7</f>
        <v>Sopa</v>
      </c>
      <c r="D302" s="30"/>
      <c r="E302" s="67" t="s">
        <v>312</v>
      </c>
      <c r="F302" s="42">
        <v>582.20000000000005</v>
      </c>
      <c r="G302" s="42">
        <v>126.2</v>
      </c>
      <c r="H302" s="42">
        <v>3.5</v>
      </c>
      <c r="I302" s="42">
        <v>0.5</v>
      </c>
      <c r="J302" s="42">
        <v>18.8</v>
      </c>
      <c r="K302" s="42">
        <v>5.3</v>
      </c>
      <c r="L302" s="42">
        <v>4.8</v>
      </c>
      <c r="M302" s="42">
        <v>0.2</v>
      </c>
      <c r="N302" s="17" t="s">
        <v>337</v>
      </c>
    </row>
    <row r="303" spans="1:14" ht="18.75" customHeight="1">
      <c r="A303" s="163"/>
      <c r="B303" s="19">
        <v>0</v>
      </c>
      <c r="C303" s="45" t="s">
        <v>290</v>
      </c>
      <c r="D303" s="30"/>
      <c r="E303" s="74" t="s">
        <v>452</v>
      </c>
      <c r="F303" s="42">
        <f>705+1095.3</f>
        <v>1800.3</v>
      </c>
      <c r="G303" s="42">
        <f>168.5+261.7</f>
        <v>430.2</v>
      </c>
      <c r="H303" s="42">
        <f>3.4+0.7</f>
        <v>4.0999999999999996</v>
      </c>
      <c r="I303" s="42">
        <f>0.5+0.4</f>
        <v>0.9</v>
      </c>
      <c r="J303" s="42">
        <f>0.3+54</f>
        <v>54.3</v>
      </c>
      <c r="K303" s="42">
        <f>0.2+5.4</f>
        <v>5.6000000000000005</v>
      </c>
      <c r="L303" s="42">
        <f>34.3+8.2</f>
        <v>42.5</v>
      </c>
      <c r="M303" s="42">
        <v>0.7</v>
      </c>
      <c r="N303" s="17" t="s">
        <v>337</v>
      </c>
    </row>
    <row r="304" spans="1:14" ht="20.100000000000001" customHeight="1">
      <c r="A304" s="163"/>
      <c r="B304" s="28">
        <v>0</v>
      </c>
      <c r="C304" s="45" t="s">
        <v>174</v>
      </c>
      <c r="D304" s="30"/>
      <c r="E304" s="67" t="s">
        <v>250</v>
      </c>
      <c r="F304" s="57">
        <f>29.2+28.5+40</f>
        <v>97.7</v>
      </c>
      <c r="G304" s="42">
        <f>7+6.8+9.6</f>
        <v>23.4</v>
      </c>
      <c r="H304" s="42">
        <v>0.3</v>
      </c>
      <c r="I304" s="42">
        <v>0</v>
      </c>
      <c r="J304" s="42">
        <f>1.2+1.2+1.8</f>
        <v>4.2</v>
      </c>
      <c r="K304" s="42">
        <f>0.9+1+1.8</f>
        <v>3.7</v>
      </c>
      <c r="L304" s="42">
        <f>0.4+0.6+0.4</f>
        <v>1.4</v>
      </c>
      <c r="M304" s="42">
        <v>0</v>
      </c>
      <c r="N304" s="16" t="s">
        <v>337</v>
      </c>
    </row>
    <row r="305" spans="1:178" ht="20.100000000000001" customHeight="1">
      <c r="A305" s="163"/>
      <c r="B305" s="19">
        <v>0</v>
      </c>
      <c r="C305" s="38" t="str">
        <f>$C$10</f>
        <v>Sobremesa</v>
      </c>
      <c r="D305" s="30"/>
      <c r="E305" s="67" t="s">
        <v>310</v>
      </c>
      <c r="F305" s="42">
        <v>319.7</v>
      </c>
      <c r="G305" s="58">
        <v>76.400000000000006</v>
      </c>
      <c r="H305" s="58">
        <v>0.5</v>
      </c>
      <c r="I305" s="58">
        <v>0.2</v>
      </c>
      <c r="J305" s="58">
        <v>16.899999999999999</v>
      </c>
      <c r="K305" s="58">
        <v>16.7</v>
      </c>
      <c r="L305" s="58">
        <v>1.1000000000000001</v>
      </c>
      <c r="M305" s="58">
        <v>0</v>
      </c>
      <c r="N305" s="17" t="s">
        <v>337</v>
      </c>
    </row>
    <row r="306" spans="1:178" ht="20.100000000000001" customHeight="1">
      <c r="A306" s="163"/>
      <c r="B306" s="28">
        <v>0</v>
      </c>
      <c r="C306" s="38" t="str">
        <f>$C$11</f>
        <v>Pão</v>
      </c>
      <c r="D306" s="30"/>
      <c r="E306" s="67" t="s">
        <v>297</v>
      </c>
      <c r="F306" s="156" t="s">
        <v>377</v>
      </c>
      <c r="G306" s="157"/>
      <c r="H306" s="157"/>
      <c r="I306" s="157"/>
      <c r="J306" s="157"/>
      <c r="K306" s="157"/>
      <c r="L306" s="157"/>
      <c r="M306" s="158"/>
      <c r="N306" s="16"/>
    </row>
    <row r="307" spans="1:178" ht="20.100000000000001" customHeight="1">
      <c r="A307" s="32"/>
      <c r="B307" s="19">
        <v>0</v>
      </c>
      <c r="C307" s="33"/>
      <c r="D307" s="30"/>
      <c r="E307" s="69"/>
      <c r="F307" s="34"/>
      <c r="G307" s="34"/>
      <c r="H307" s="34"/>
      <c r="I307" s="34"/>
      <c r="J307" s="34"/>
      <c r="K307" s="34"/>
      <c r="L307" s="34"/>
      <c r="M307" s="34"/>
      <c r="N307" s="4"/>
    </row>
    <row r="308" spans="1:178" ht="20.100000000000001" customHeight="1" thickBot="1">
      <c r="A308" s="35"/>
      <c r="B308" s="28">
        <v>0</v>
      </c>
      <c r="C308" s="36"/>
      <c r="D308" s="30"/>
      <c r="E308" s="66"/>
      <c r="F308" s="41" t="s">
        <v>370</v>
      </c>
      <c r="G308" s="41" t="s">
        <v>371</v>
      </c>
      <c r="H308" s="41" t="s">
        <v>372</v>
      </c>
      <c r="I308" s="41" t="s">
        <v>373</v>
      </c>
      <c r="J308" s="41" t="s">
        <v>374</v>
      </c>
      <c r="K308" s="41" t="s">
        <v>602</v>
      </c>
      <c r="L308" s="41" t="s">
        <v>603</v>
      </c>
      <c r="M308" s="41" t="s">
        <v>376</v>
      </c>
      <c r="N308" s="13"/>
    </row>
    <row r="309" spans="1:178" ht="20.100000000000001" customHeight="1" thickTop="1">
      <c r="A309" s="159" t="s">
        <v>294</v>
      </c>
      <c r="B309" s="19">
        <v>0</v>
      </c>
      <c r="C309" s="37" t="str">
        <f>$C$7</f>
        <v>Sopa</v>
      </c>
      <c r="D309" s="30"/>
      <c r="E309" s="67"/>
      <c r="F309" s="42"/>
      <c r="G309" s="42"/>
      <c r="H309" s="42"/>
      <c r="I309" s="42"/>
      <c r="J309" s="42"/>
      <c r="K309" s="42"/>
      <c r="L309" s="42"/>
      <c r="M309" s="42"/>
      <c r="N309" s="17" t="s">
        <v>337</v>
      </c>
    </row>
    <row r="310" spans="1:178" ht="27" customHeight="1">
      <c r="A310" s="163"/>
      <c r="B310" s="28">
        <v>0</v>
      </c>
      <c r="C310" s="45" t="s">
        <v>290</v>
      </c>
      <c r="D310" s="30"/>
      <c r="E310" s="75" t="s">
        <v>196</v>
      </c>
      <c r="F310" s="42"/>
      <c r="G310" s="42"/>
      <c r="H310" s="42"/>
      <c r="I310" s="42"/>
      <c r="J310" s="42"/>
      <c r="K310" s="42"/>
      <c r="L310" s="42"/>
      <c r="M310" s="42"/>
      <c r="N310" s="77" t="s">
        <v>337</v>
      </c>
    </row>
    <row r="311" spans="1:178" ht="20.100000000000001" customHeight="1">
      <c r="A311" s="163"/>
      <c r="B311" s="19">
        <v>0</v>
      </c>
      <c r="C311" s="45" t="s">
        <v>174</v>
      </c>
      <c r="D311" s="30"/>
      <c r="E311" s="74"/>
      <c r="F311" s="57"/>
      <c r="G311" s="57"/>
      <c r="H311" s="57"/>
      <c r="I311" s="57"/>
      <c r="J311" s="57"/>
      <c r="K311" s="57"/>
      <c r="L311" s="57"/>
      <c r="M311" s="57"/>
      <c r="N311" s="16" t="s">
        <v>337</v>
      </c>
    </row>
    <row r="312" spans="1:178" ht="20.100000000000001" customHeight="1">
      <c r="A312" s="163"/>
      <c r="B312" s="28">
        <v>0</v>
      </c>
      <c r="C312" s="38" t="str">
        <f>$C$10</f>
        <v>Sobremesa</v>
      </c>
      <c r="D312" s="30"/>
      <c r="E312" s="74"/>
      <c r="F312" s="42"/>
      <c r="G312" s="42"/>
      <c r="H312" s="42"/>
      <c r="I312" s="42"/>
      <c r="J312" s="42"/>
      <c r="K312" s="42"/>
      <c r="L312" s="42"/>
      <c r="M312" s="42"/>
      <c r="N312" s="17" t="s">
        <v>337</v>
      </c>
    </row>
    <row r="313" spans="1:178" ht="27" customHeight="1">
      <c r="A313" s="163"/>
      <c r="B313" s="19">
        <v>0</v>
      </c>
      <c r="C313" s="38" t="str">
        <f>$C$11</f>
        <v>Pão</v>
      </c>
      <c r="D313" s="30"/>
      <c r="E313" s="68"/>
      <c r="F313" s="156" t="s">
        <v>377</v>
      </c>
      <c r="G313" s="157"/>
      <c r="H313" s="157"/>
      <c r="I313" s="157"/>
      <c r="J313" s="157"/>
      <c r="K313" s="157"/>
      <c r="L313" s="157"/>
      <c r="M313" s="158"/>
      <c r="N313" s="16"/>
    </row>
    <row r="314" spans="1:178" ht="20.100000000000001" customHeight="1">
      <c r="A314" s="32"/>
      <c r="B314" s="28">
        <v>0</v>
      </c>
      <c r="C314" s="33"/>
      <c r="D314" s="30"/>
      <c r="E314" s="69"/>
      <c r="F314" s="34"/>
      <c r="G314" s="34"/>
      <c r="H314" s="34"/>
      <c r="I314" s="34"/>
      <c r="J314" s="34"/>
      <c r="K314" s="34"/>
      <c r="L314" s="34"/>
      <c r="M314" s="34"/>
      <c r="N314" s="4"/>
    </row>
    <row r="315" spans="1:178" ht="20.100000000000001" customHeight="1" thickBot="1">
      <c r="A315" s="35"/>
      <c r="B315" s="19">
        <v>0</v>
      </c>
      <c r="C315" s="36"/>
      <c r="D315" s="30"/>
      <c r="F315" s="41" t="s">
        <v>370</v>
      </c>
      <c r="G315" s="41" t="s">
        <v>371</v>
      </c>
      <c r="H315" s="41" t="s">
        <v>372</v>
      </c>
      <c r="I315" s="41" t="s">
        <v>373</v>
      </c>
      <c r="J315" s="41" t="s">
        <v>374</v>
      </c>
      <c r="K315" s="41" t="s">
        <v>602</v>
      </c>
      <c r="L315" s="41" t="s">
        <v>603</v>
      </c>
      <c r="M315" s="41" t="s">
        <v>376</v>
      </c>
      <c r="N315" s="13"/>
    </row>
    <row r="316" spans="1:178" ht="20.100000000000001" customHeight="1" thickTop="1">
      <c r="A316" s="159" t="s">
        <v>295</v>
      </c>
      <c r="B316" s="28">
        <v>0</v>
      </c>
      <c r="C316" s="37" t="str">
        <f>$C$7</f>
        <v>Sopa</v>
      </c>
      <c r="D316" s="30"/>
      <c r="E316" s="74" t="s">
        <v>313</v>
      </c>
      <c r="F316" s="42">
        <v>847</v>
      </c>
      <c r="G316" s="42">
        <v>202.4</v>
      </c>
      <c r="H316" s="42">
        <v>3.7</v>
      </c>
      <c r="I316" s="42">
        <v>0.6</v>
      </c>
      <c r="J316" s="42">
        <v>30.2</v>
      </c>
      <c r="K316" s="42">
        <v>3.1</v>
      </c>
      <c r="L316" s="42">
        <v>11.4</v>
      </c>
      <c r="M316" s="42">
        <v>0.1</v>
      </c>
      <c r="N316" s="17" t="s">
        <v>337</v>
      </c>
    </row>
    <row r="317" spans="1:178" s="50" customFormat="1" ht="45.75" customHeight="1">
      <c r="A317" s="163"/>
      <c r="B317" s="47">
        <v>0</v>
      </c>
      <c r="C317" s="45" t="s">
        <v>290</v>
      </c>
      <c r="D317" s="48"/>
      <c r="E317" s="74" t="s">
        <v>178</v>
      </c>
      <c r="F317" s="57">
        <f>702.8+1120+40.5+67.2</f>
        <v>1930.5</v>
      </c>
      <c r="G317" s="42">
        <f>168+267.7+9.7+16.1</f>
        <v>461.5</v>
      </c>
      <c r="H317" s="42">
        <f>5.4+30.5</f>
        <v>35.9</v>
      </c>
      <c r="I317" s="42">
        <f>0.8+0.4+0.1</f>
        <v>1.3000000000000003</v>
      </c>
      <c r="J317" s="42">
        <f>51.8+2.2+0.9</f>
        <v>54.9</v>
      </c>
      <c r="K317" s="42">
        <f>3.2+2.1+0.7</f>
        <v>6.0000000000000009</v>
      </c>
      <c r="L317" s="42">
        <f>29.9+6.8+2.3</f>
        <v>38.999999999999993</v>
      </c>
      <c r="M317" s="42">
        <v>0.8</v>
      </c>
      <c r="N317" s="77" t="s">
        <v>337</v>
      </c>
      <c r="O317" s="2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  <c r="AJ317" s="49"/>
      <c r="AK317" s="49"/>
      <c r="AL317" s="49"/>
      <c r="AM317" s="49"/>
      <c r="AN317" s="49"/>
      <c r="AO317" s="49"/>
      <c r="AP317" s="49"/>
      <c r="AQ317" s="49"/>
      <c r="AR317" s="49"/>
      <c r="AS317" s="49"/>
      <c r="AT317" s="49"/>
      <c r="AU317" s="49"/>
      <c r="AV317" s="49"/>
      <c r="AW317" s="49"/>
      <c r="AX317" s="49"/>
      <c r="AY317" s="49"/>
      <c r="AZ317" s="49"/>
      <c r="BA317" s="49"/>
      <c r="BB317" s="49"/>
      <c r="BC317" s="49"/>
      <c r="BD317" s="49"/>
      <c r="BE317" s="49"/>
      <c r="BF317" s="49"/>
      <c r="BG317" s="49"/>
      <c r="BH317" s="49"/>
      <c r="BI317" s="49"/>
      <c r="BJ317" s="49"/>
      <c r="BK317" s="49"/>
      <c r="BL317" s="49"/>
      <c r="BM317" s="49"/>
      <c r="BN317" s="49"/>
      <c r="BO317" s="49"/>
      <c r="BP317" s="49"/>
      <c r="BQ317" s="49"/>
      <c r="BR317" s="49"/>
      <c r="BS317" s="49"/>
      <c r="BT317" s="49"/>
      <c r="BU317" s="49"/>
      <c r="BV317" s="49"/>
      <c r="BW317" s="49"/>
      <c r="BX317" s="49"/>
      <c r="BY317" s="49"/>
      <c r="BZ317" s="49"/>
      <c r="CA317" s="49"/>
      <c r="CB317" s="49"/>
      <c r="CC317" s="49"/>
      <c r="CD317" s="49"/>
      <c r="CE317" s="49"/>
      <c r="CF317" s="49"/>
      <c r="CG317" s="49"/>
      <c r="CH317" s="49"/>
      <c r="CI317" s="49"/>
      <c r="CJ317" s="49"/>
      <c r="CK317" s="49"/>
      <c r="CL317" s="49"/>
      <c r="CM317" s="49"/>
      <c r="CN317" s="49"/>
      <c r="CO317" s="49"/>
      <c r="CP317" s="49"/>
      <c r="CQ317" s="49"/>
      <c r="CR317" s="49"/>
      <c r="CS317" s="49"/>
      <c r="CT317" s="49"/>
      <c r="CU317" s="49"/>
      <c r="CV317" s="49"/>
      <c r="CW317" s="49"/>
      <c r="CX317" s="49"/>
      <c r="CY317" s="49"/>
      <c r="CZ317" s="49"/>
      <c r="DA317" s="49"/>
      <c r="DB317" s="49"/>
      <c r="DC317" s="49"/>
      <c r="DD317" s="49"/>
      <c r="DE317" s="49"/>
      <c r="DF317" s="49"/>
      <c r="DG317" s="49"/>
      <c r="DH317" s="49"/>
      <c r="DI317" s="49"/>
      <c r="DJ317" s="49"/>
      <c r="DK317" s="49"/>
      <c r="DL317" s="49"/>
      <c r="DM317" s="49"/>
      <c r="DN317" s="49"/>
      <c r="DO317" s="49"/>
      <c r="DP317" s="49"/>
      <c r="DQ317" s="49"/>
      <c r="DR317" s="49"/>
      <c r="DS317" s="49"/>
      <c r="DT317" s="49"/>
      <c r="DU317" s="49"/>
      <c r="DV317" s="49"/>
      <c r="DW317" s="49"/>
      <c r="DX317" s="49"/>
      <c r="DY317" s="49"/>
      <c r="DZ317" s="49"/>
      <c r="EA317" s="49"/>
      <c r="EB317" s="49"/>
      <c r="EC317" s="49"/>
      <c r="ED317" s="49"/>
      <c r="EE317" s="49"/>
      <c r="EF317" s="49"/>
      <c r="EG317" s="49"/>
      <c r="EH317" s="49"/>
      <c r="EI317" s="49"/>
      <c r="EJ317" s="49"/>
      <c r="EK317" s="49"/>
      <c r="EL317" s="49"/>
      <c r="EM317" s="49"/>
      <c r="EN317" s="49"/>
      <c r="EO317" s="49"/>
      <c r="EP317" s="49"/>
      <c r="EQ317" s="49"/>
      <c r="ER317" s="49"/>
      <c r="ES317" s="49"/>
      <c r="ET317" s="49"/>
      <c r="EU317" s="49"/>
      <c r="EV317" s="49"/>
      <c r="EW317" s="49"/>
      <c r="EX317" s="49"/>
      <c r="EY317" s="49"/>
      <c r="EZ317" s="49"/>
      <c r="FA317" s="49"/>
      <c r="FB317" s="49"/>
      <c r="FC317" s="49"/>
      <c r="FD317" s="49"/>
      <c r="FE317" s="49"/>
      <c r="FF317" s="49"/>
      <c r="FG317" s="49"/>
      <c r="FH317" s="49"/>
      <c r="FI317" s="49"/>
      <c r="FJ317" s="49"/>
      <c r="FK317" s="49"/>
      <c r="FL317" s="49"/>
      <c r="FM317" s="49"/>
      <c r="FN317" s="49"/>
      <c r="FO317" s="49"/>
      <c r="FP317" s="49"/>
      <c r="FQ317" s="49"/>
      <c r="FR317" s="49"/>
      <c r="FS317" s="49"/>
      <c r="FT317" s="49"/>
      <c r="FU317" s="49"/>
      <c r="FV317" s="49"/>
    </row>
    <row r="318" spans="1:178" ht="20.100000000000001" customHeight="1">
      <c r="A318" s="163"/>
      <c r="B318" s="28">
        <v>0</v>
      </c>
      <c r="C318" s="45" t="s">
        <v>174</v>
      </c>
      <c r="D318" s="30"/>
      <c r="E318" s="74" t="s">
        <v>453</v>
      </c>
      <c r="F318" s="42">
        <f>163.3+25.6+40</f>
        <v>228.9</v>
      </c>
      <c r="G318" s="42">
        <f>39.2+6.1+9.6</f>
        <v>54.900000000000006</v>
      </c>
      <c r="H318" s="42">
        <f>0.5+0.2+0.2</f>
        <v>0.89999999999999991</v>
      </c>
      <c r="I318" s="42">
        <v>0.1</v>
      </c>
      <c r="J318" s="42">
        <f>7.1+0.6+1.8</f>
        <v>9.5</v>
      </c>
      <c r="K318" s="42">
        <f>0.6+1.8</f>
        <v>2.4</v>
      </c>
      <c r="L318" s="42">
        <f>1.5+0.5+0.4</f>
        <v>2.4</v>
      </c>
      <c r="M318" s="42">
        <v>0</v>
      </c>
      <c r="N318" s="16" t="s">
        <v>337</v>
      </c>
    </row>
    <row r="319" spans="1:178" ht="20.100000000000001" customHeight="1">
      <c r="A319" s="163"/>
      <c r="B319" s="19">
        <v>0</v>
      </c>
      <c r="C319" s="38" t="str">
        <f>$C$10</f>
        <v>Sobremesa</v>
      </c>
      <c r="D319" s="30"/>
      <c r="E319" s="74" t="s">
        <v>383</v>
      </c>
      <c r="F319" s="42" t="s">
        <v>621</v>
      </c>
      <c r="G319" s="58" t="s">
        <v>622</v>
      </c>
      <c r="H319" s="58" t="s">
        <v>623</v>
      </c>
      <c r="I319" s="58" t="s">
        <v>624</v>
      </c>
      <c r="J319" s="58" t="s">
        <v>625</v>
      </c>
      <c r="K319" s="58" t="s">
        <v>626</v>
      </c>
      <c r="L319" s="58" t="s">
        <v>627</v>
      </c>
      <c r="M319" s="58" t="s">
        <v>628</v>
      </c>
      <c r="N319" s="44" t="s">
        <v>337</v>
      </c>
    </row>
    <row r="320" spans="1:178" ht="20.100000000000001" customHeight="1">
      <c r="A320" s="163"/>
      <c r="B320" s="28">
        <v>0</v>
      </c>
      <c r="C320" s="38" t="str">
        <f>$C$11</f>
        <v>Pão</v>
      </c>
      <c r="D320" s="30"/>
      <c r="E320" s="76" t="s">
        <v>297</v>
      </c>
      <c r="F320" s="156" t="s">
        <v>377</v>
      </c>
      <c r="G320" s="157"/>
      <c r="H320" s="157"/>
      <c r="I320" s="157"/>
      <c r="J320" s="157"/>
      <c r="K320" s="157"/>
      <c r="L320" s="157"/>
      <c r="M320" s="158"/>
      <c r="N320" s="16"/>
    </row>
    <row r="321" spans="1:14" ht="20.100000000000001" customHeight="1">
      <c r="A321" s="32"/>
      <c r="B321" s="19">
        <v>0</v>
      </c>
      <c r="C321" s="33"/>
      <c r="D321" s="30"/>
      <c r="E321" s="69"/>
      <c r="F321" s="34"/>
      <c r="G321" s="34"/>
      <c r="H321" s="34"/>
      <c r="I321" s="34"/>
      <c r="J321" s="34"/>
      <c r="K321" s="34"/>
      <c r="L321" s="34"/>
      <c r="M321" s="34"/>
      <c r="N321" s="4"/>
    </row>
    <row r="322" spans="1:14" ht="20.100000000000001" customHeight="1" thickBot="1">
      <c r="A322" s="35"/>
      <c r="B322" s="28">
        <v>0</v>
      </c>
      <c r="C322" s="36"/>
      <c r="D322" s="30"/>
      <c r="E322" s="66"/>
      <c r="F322" s="41" t="s">
        <v>370</v>
      </c>
      <c r="G322" s="41" t="s">
        <v>371</v>
      </c>
      <c r="H322" s="41" t="s">
        <v>372</v>
      </c>
      <c r="I322" s="41" t="s">
        <v>373</v>
      </c>
      <c r="J322" s="41" t="s">
        <v>374</v>
      </c>
      <c r="K322" s="41" t="s">
        <v>602</v>
      </c>
      <c r="L322" s="41" t="s">
        <v>603</v>
      </c>
      <c r="M322" s="41" t="s">
        <v>376</v>
      </c>
      <c r="N322" s="13"/>
    </row>
    <row r="323" spans="1:14" ht="20.100000000000001" customHeight="1" thickTop="1">
      <c r="A323" s="159" t="s">
        <v>296</v>
      </c>
      <c r="B323" s="19">
        <v>0</v>
      </c>
      <c r="C323" s="37" t="str">
        <f>$C$7</f>
        <v>Sopa</v>
      </c>
      <c r="D323" s="30"/>
      <c r="E323" s="67" t="s">
        <v>356</v>
      </c>
      <c r="F323" s="42">
        <v>525.29999999999995</v>
      </c>
      <c r="G323" s="42">
        <v>125.6</v>
      </c>
      <c r="H323" s="42">
        <v>3.5</v>
      </c>
      <c r="I323" s="42">
        <v>0.5</v>
      </c>
      <c r="J323" s="42">
        <v>18.7</v>
      </c>
      <c r="K323" s="42">
        <v>5.5</v>
      </c>
      <c r="L323" s="42">
        <v>4.5</v>
      </c>
      <c r="M323" s="42">
        <v>0.2</v>
      </c>
      <c r="N323" s="44" t="s">
        <v>337</v>
      </c>
    </row>
    <row r="324" spans="1:14" ht="27.75" customHeight="1">
      <c r="A324" s="163"/>
      <c r="B324" s="28">
        <v>0</v>
      </c>
      <c r="C324" s="45" t="s">
        <v>290</v>
      </c>
      <c r="D324" s="30"/>
      <c r="E324" s="74" t="s">
        <v>251</v>
      </c>
      <c r="F324" s="57">
        <v>997</v>
      </c>
      <c r="G324" s="42">
        <v>238.3</v>
      </c>
      <c r="H324" s="42">
        <v>10.5</v>
      </c>
      <c r="I324" s="42">
        <v>3</v>
      </c>
      <c r="J324" s="42">
        <v>0.3</v>
      </c>
      <c r="K324" s="42">
        <v>0.2</v>
      </c>
      <c r="L324" s="42">
        <v>35.6</v>
      </c>
      <c r="M324" s="42">
        <v>0.3</v>
      </c>
      <c r="N324" s="17" t="s">
        <v>337</v>
      </c>
    </row>
    <row r="325" spans="1:14" ht="20.100000000000001" customHeight="1">
      <c r="A325" s="163"/>
      <c r="B325" s="19">
        <v>0</v>
      </c>
      <c r="C325" s="45" t="s">
        <v>174</v>
      </c>
      <c r="D325" s="30"/>
      <c r="E325" s="67" t="s">
        <v>454</v>
      </c>
      <c r="F325" s="42">
        <f>20+28.5+40</f>
        <v>88.5</v>
      </c>
      <c r="G325" s="42">
        <f>4.8+6.8+9.6</f>
        <v>21.2</v>
      </c>
      <c r="H325" s="42">
        <v>0.3</v>
      </c>
      <c r="I325" s="42">
        <v>0</v>
      </c>
      <c r="J325" s="42">
        <f>0.3+1.2+1.8</f>
        <v>3.3</v>
      </c>
      <c r="K325" s="42">
        <f>0.3+1+1.8</f>
        <v>3.1</v>
      </c>
      <c r="L325" s="42">
        <f>0.7+0.6+0.4</f>
        <v>1.6999999999999997</v>
      </c>
      <c r="M325" s="42">
        <v>0</v>
      </c>
      <c r="N325" s="16" t="s">
        <v>337</v>
      </c>
    </row>
    <row r="326" spans="1:14" ht="20.100000000000001" customHeight="1">
      <c r="A326" s="163"/>
      <c r="B326" s="28">
        <v>0</v>
      </c>
      <c r="C326" s="38" t="str">
        <f>$C$10</f>
        <v>Sobremesa</v>
      </c>
      <c r="D326" s="30"/>
      <c r="E326" s="67" t="s">
        <v>310</v>
      </c>
      <c r="F326" s="42">
        <v>319.7</v>
      </c>
      <c r="G326" s="58">
        <v>76.400000000000006</v>
      </c>
      <c r="H326" s="58">
        <v>0.5</v>
      </c>
      <c r="I326" s="58">
        <v>0.2</v>
      </c>
      <c r="J326" s="58">
        <v>16.899999999999999</v>
      </c>
      <c r="K326" s="58">
        <v>16.7</v>
      </c>
      <c r="L326" s="58">
        <v>1.1000000000000001</v>
      </c>
      <c r="M326" s="58">
        <v>0</v>
      </c>
      <c r="N326" s="17" t="s">
        <v>337</v>
      </c>
    </row>
    <row r="327" spans="1:14" ht="20.100000000000001" customHeight="1">
      <c r="A327" s="163"/>
      <c r="B327" s="19">
        <v>0</v>
      </c>
      <c r="C327" s="38" t="str">
        <f>$C$11</f>
        <v>Pão</v>
      </c>
      <c r="D327" s="30"/>
      <c r="E327" s="68" t="s">
        <v>297</v>
      </c>
      <c r="F327" s="156" t="s">
        <v>377</v>
      </c>
      <c r="G327" s="157"/>
      <c r="H327" s="157"/>
      <c r="I327" s="157"/>
      <c r="J327" s="157"/>
      <c r="K327" s="157"/>
      <c r="L327" s="157"/>
      <c r="M327" s="158"/>
      <c r="N327" s="16"/>
    </row>
    <row r="328" spans="1:14" ht="123" customHeight="1">
      <c r="A328" s="167" t="str">
        <f>+A$40</f>
        <v xml:space="preserve">
A sua refeição contém ou pode conter as seguintes substâncias ou produtos e seus derivados: 1Cereais que contêm glúten, 2Crustáceos , 3Ovos, 4Peixes, 5Amendoins, 6Soja, 7Leite, 8Frutos de casca rija, 9Aipo, 10Mostarda, 11Sementes de sésamo, 12Dióxido de enxofre e sulfitos, 13Tremoço, 14Moluscos. 
Para quem não é alérgico ou intolerante, estas substâncias ou produtos são completamente inofensivas. 
Caso necessite informação adicional sobre os produtos em causa deve solicitar aos funcionários.
Declaração nutricional: valores médios de 100 g ou 100 ml, calculados a partir dos valores médios conhecidos dos ingredientes utilizados, segundo o Instituto Nacional de Saúde Dr. Ricardo Jorge, Tabela da Composição de Alimentos (2007), e a informação disponibilizada pelos fornecedores.
Legenda: VE - Valor energético, Líp. - Lípidos, AG Sat. - Ácidos Gordos Saturados, HC - Hidratos de Carbono, Prot. - Proteínas.
</v>
      </c>
      <c r="B328" s="168"/>
      <c r="C328" s="168"/>
      <c r="D328" s="168"/>
      <c r="E328" s="168"/>
      <c r="F328" s="168"/>
      <c r="G328" s="168"/>
      <c r="H328" s="168"/>
      <c r="I328" s="168"/>
      <c r="J328" s="168"/>
      <c r="K328" s="168"/>
      <c r="L328" s="168"/>
      <c r="M328" s="168"/>
      <c r="N328" s="5"/>
    </row>
    <row r="329" spans="1:14" ht="39.950000000000003" customHeight="1">
      <c r="B329" s="28">
        <v>0</v>
      </c>
      <c r="C329" s="61" t="s">
        <v>392</v>
      </c>
      <c r="D329" s="26"/>
      <c r="E329" s="70" t="s">
        <v>187</v>
      </c>
      <c r="F329" s="39"/>
      <c r="G329" s="39"/>
      <c r="H329" s="39"/>
      <c r="I329" s="39"/>
      <c r="J329" s="39"/>
      <c r="K329" s="39"/>
      <c r="L329" s="39"/>
      <c r="M329" s="39"/>
      <c r="N329" s="14"/>
    </row>
    <row r="330" spans="1:14" ht="20.100000000000001" customHeight="1" thickBot="1">
      <c r="B330" s="19">
        <v>0</v>
      </c>
      <c r="E330" s="66"/>
      <c r="F330" s="41" t="s">
        <v>370</v>
      </c>
      <c r="G330" s="41" t="s">
        <v>371</v>
      </c>
      <c r="H330" s="41" t="s">
        <v>372</v>
      </c>
      <c r="I330" s="41" t="s">
        <v>373</v>
      </c>
      <c r="J330" s="41" t="s">
        <v>374</v>
      </c>
      <c r="K330" s="41" t="s">
        <v>602</v>
      </c>
      <c r="L330" s="41" t="s">
        <v>603</v>
      </c>
      <c r="M330" s="41" t="s">
        <v>376</v>
      </c>
      <c r="N330" s="13"/>
    </row>
    <row r="331" spans="1:14" ht="20.100000000000001" customHeight="1" thickTop="1">
      <c r="A331" s="159" t="s">
        <v>288</v>
      </c>
      <c r="B331" s="28">
        <v>0</v>
      </c>
      <c r="C331" s="29" t="s">
        <v>289</v>
      </c>
      <c r="D331" s="30"/>
      <c r="E331" s="67" t="s">
        <v>216</v>
      </c>
      <c r="F331" s="42">
        <v>425.5</v>
      </c>
      <c r="G331" s="42">
        <v>101.7</v>
      </c>
      <c r="H331" s="42">
        <v>3.2</v>
      </c>
      <c r="I331" s="42">
        <v>0.4</v>
      </c>
      <c r="J331" s="42">
        <v>15.1</v>
      </c>
      <c r="K331" s="42">
        <v>3.9</v>
      </c>
      <c r="L331" s="42">
        <v>2.9</v>
      </c>
      <c r="M331" s="42">
        <v>0.2</v>
      </c>
      <c r="N331" s="44" t="s">
        <v>337</v>
      </c>
    </row>
    <row r="332" spans="1:14" ht="44.25" customHeight="1">
      <c r="A332" s="163"/>
      <c r="B332" s="19">
        <v>0</v>
      </c>
      <c r="C332" s="45" t="s">
        <v>290</v>
      </c>
      <c r="D332" s="30"/>
      <c r="E332" s="67" t="s">
        <v>258</v>
      </c>
      <c r="F332" s="42">
        <v>2975.1</v>
      </c>
      <c r="G332" s="42">
        <v>711</v>
      </c>
      <c r="H332" s="42">
        <v>24.2</v>
      </c>
      <c r="I332" s="42">
        <v>3.3</v>
      </c>
      <c r="J332" s="42">
        <v>71.900000000000006</v>
      </c>
      <c r="K332" s="42">
        <v>4.5</v>
      </c>
      <c r="L332" s="42">
        <v>49.5</v>
      </c>
      <c r="M332" s="42">
        <v>1.4</v>
      </c>
      <c r="N332" s="17" t="s">
        <v>337</v>
      </c>
    </row>
    <row r="333" spans="1:14" ht="28.5" customHeight="1">
      <c r="A333" s="163"/>
      <c r="B333" s="28">
        <v>0</v>
      </c>
      <c r="C333" s="45" t="s">
        <v>174</v>
      </c>
      <c r="D333" s="30"/>
      <c r="E333" s="67" t="s">
        <v>455</v>
      </c>
      <c r="F333" s="42">
        <f>30+22.4+40</f>
        <v>92.4</v>
      </c>
      <c r="G333" s="42">
        <f>7.2+7.7+9.6</f>
        <v>24.5</v>
      </c>
      <c r="H333" s="42">
        <v>0.2</v>
      </c>
      <c r="I333" s="42">
        <v>0</v>
      </c>
      <c r="J333" s="42">
        <f>1.4+1.8+1.8</f>
        <v>5</v>
      </c>
      <c r="K333" s="42">
        <f>1.4+1.6+1.8</f>
        <v>4.8</v>
      </c>
      <c r="L333" s="42">
        <f>0.4+0.2+0.4</f>
        <v>1</v>
      </c>
      <c r="M333" s="42">
        <v>0.2</v>
      </c>
      <c r="N333" s="16" t="s">
        <v>337</v>
      </c>
    </row>
    <row r="334" spans="1:14" ht="20.100000000000001" customHeight="1">
      <c r="A334" s="163"/>
      <c r="B334" s="19">
        <v>0</v>
      </c>
      <c r="C334" s="31" t="s">
        <v>291</v>
      </c>
      <c r="D334" s="30"/>
      <c r="E334" s="67" t="s">
        <v>310</v>
      </c>
      <c r="F334" s="42">
        <v>319.7</v>
      </c>
      <c r="G334" s="58">
        <v>76.400000000000006</v>
      </c>
      <c r="H334" s="58">
        <v>0.5</v>
      </c>
      <c r="I334" s="58">
        <v>0.2</v>
      </c>
      <c r="J334" s="58">
        <v>16.899999999999999</v>
      </c>
      <c r="K334" s="58">
        <v>16.7</v>
      </c>
      <c r="L334" s="58">
        <v>1.1000000000000001</v>
      </c>
      <c r="M334" s="58">
        <v>0</v>
      </c>
      <c r="N334" s="17" t="s">
        <v>337</v>
      </c>
    </row>
    <row r="335" spans="1:14" ht="20.100000000000001" customHeight="1">
      <c r="A335" s="163"/>
      <c r="B335" s="28">
        <v>0</v>
      </c>
      <c r="C335" s="31" t="s">
        <v>292</v>
      </c>
      <c r="D335" s="30"/>
      <c r="E335" s="67" t="s">
        <v>297</v>
      </c>
      <c r="F335" s="156" t="s">
        <v>377</v>
      </c>
      <c r="G335" s="157"/>
      <c r="H335" s="157"/>
      <c r="I335" s="157"/>
      <c r="J335" s="157"/>
      <c r="K335" s="157"/>
      <c r="L335" s="157"/>
      <c r="M335" s="158"/>
      <c r="N335" s="16"/>
    </row>
    <row r="336" spans="1:14" ht="20.100000000000001" customHeight="1">
      <c r="A336" s="32"/>
      <c r="B336" s="19">
        <v>0</v>
      </c>
      <c r="C336" s="33"/>
      <c r="D336" s="30"/>
      <c r="E336" s="69"/>
      <c r="F336" s="34"/>
      <c r="G336" s="34"/>
      <c r="H336" s="34"/>
      <c r="I336" s="34"/>
      <c r="J336" s="34"/>
      <c r="K336" s="34"/>
      <c r="L336" s="34"/>
      <c r="M336" s="34"/>
      <c r="N336" s="4"/>
    </row>
    <row r="337" spans="1:14" ht="20.100000000000001" customHeight="1" thickBot="1">
      <c r="A337" s="35"/>
      <c r="B337" s="28">
        <v>0</v>
      </c>
      <c r="C337" s="36"/>
      <c r="D337" s="30"/>
      <c r="E337" s="66"/>
      <c r="F337" s="41" t="s">
        <v>370</v>
      </c>
      <c r="G337" s="41" t="s">
        <v>371</v>
      </c>
      <c r="H337" s="41" t="s">
        <v>372</v>
      </c>
      <c r="I337" s="41" t="s">
        <v>373</v>
      </c>
      <c r="J337" s="41" t="s">
        <v>374</v>
      </c>
      <c r="K337" s="41" t="s">
        <v>602</v>
      </c>
      <c r="L337" s="41" t="s">
        <v>603</v>
      </c>
      <c r="M337" s="41" t="s">
        <v>376</v>
      </c>
      <c r="N337" s="13"/>
    </row>
    <row r="338" spans="1:14" ht="24" customHeight="1" thickTop="1">
      <c r="A338" s="159" t="s">
        <v>293</v>
      </c>
      <c r="B338" s="19">
        <v>0</v>
      </c>
      <c r="C338" s="37" t="str">
        <f>$C$7</f>
        <v>Sopa</v>
      </c>
      <c r="D338" s="30"/>
      <c r="E338" s="67" t="s">
        <v>299</v>
      </c>
      <c r="F338" s="42">
        <v>470.2</v>
      </c>
      <c r="G338" s="42">
        <v>112.4</v>
      </c>
      <c r="H338" s="42">
        <v>3.3</v>
      </c>
      <c r="I338" s="42">
        <v>0.5</v>
      </c>
      <c r="J338" s="42">
        <v>17.2</v>
      </c>
      <c r="K338" s="42">
        <v>5.6</v>
      </c>
      <c r="L338" s="42">
        <v>3.3</v>
      </c>
      <c r="M338" s="42">
        <v>0.2</v>
      </c>
      <c r="N338" s="44" t="s">
        <v>337</v>
      </c>
    </row>
    <row r="339" spans="1:14" ht="39" customHeight="1">
      <c r="A339" s="163"/>
      <c r="B339" s="28">
        <v>0</v>
      </c>
      <c r="C339" s="45" t="s">
        <v>290</v>
      </c>
      <c r="D339" s="30"/>
      <c r="E339" s="67" t="s">
        <v>217</v>
      </c>
      <c r="F339" s="42">
        <f>874.1+1198.4</f>
        <v>2072.5</v>
      </c>
      <c r="G339" s="42">
        <f>208.9+286.4</f>
        <v>495.29999999999995</v>
      </c>
      <c r="H339" s="42">
        <f>8.3+1.5</f>
        <v>9.8000000000000007</v>
      </c>
      <c r="I339" s="42">
        <f>2.7+0.3</f>
        <v>3</v>
      </c>
      <c r="J339" s="42">
        <v>56.9</v>
      </c>
      <c r="K339" s="42">
        <v>2.5</v>
      </c>
      <c r="L339" s="42">
        <f>33.6+9.7</f>
        <v>43.3</v>
      </c>
      <c r="M339" s="42">
        <v>0.4</v>
      </c>
      <c r="N339" s="17" t="s">
        <v>337</v>
      </c>
    </row>
    <row r="340" spans="1:14" ht="20.100000000000001" customHeight="1">
      <c r="A340" s="163"/>
      <c r="B340" s="19">
        <v>0</v>
      </c>
      <c r="C340" s="45" t="s">
        <v>174</v>
      </c>
      <c r="D340" s="30"/>
      <c r="E340" s="67" t="s">
        <v>447</v>
      </c>
      <c r="F340" s="42">
        <f>32.4+28.5+40</f>
        <v>100.9</v>
      </c>
      <c r="G340" s="42">
        <f>7.7+6.8+9.6</f>
        <v>24.1</v>
      </c>
      <c r="H340" s="42">
        <v>0.2</v>
      </c>
      <c r="I340" s="42">
        <v>0</v>
      </c>
      <c r="J340" s="42">
        <f>1.8+1.2+1.8</f>
        <v>4.8</v>
      </c>
      <c r="K340" s="42">
        <f>1.6+1+1.8</f>
        <v>4.4000000000000004</v>
      </c>
      <c r="L340" s="42">
        <f>0.2+0.6+0.4</f>
        <v>1.2000000000000002</v>
      </c>
      <c r="M340" s="42">
        <v>0.1</v>
      </c>
      <c r="N340" s="16" t="s">
        <v>337</v>
      </c>
    </row>
    <row r="341" spans="1:14" ht="24" customHeight="1">
      <c r="A341" s="163"/>
      <c r="B341" s="28">
        <v>0</v>
      </c>
      <c r="C341" s="38" t="str">
        <f>$C$10</f>
        <v>Sobremesa</v>
      </c>
      <c r="D341" s="30"/>
      <c r="E341" s="67" t="s">
        <v>310</v>
      </c>
      <c r="F341" s="42">
        <v>319.7</v>
      </c>
      <c r="G341" s="58">
        <v>76.400000000000006</v>
      </c>
      <c r="H341" s="58">
        <v>0.5</v>
      </c>
      <c r="I341" s="58">
        <v>0.2</v>
      </c>
      <c r="J341" s="58">
        <v>16.899999999999999</v>
      </c>
      <c r="K341" s="58">
        <v>16.7</v>
      </c>
      <c r="L341" s="58">
        <v>1.1000000000000001</v>
      </c>
      <c r="M341" s="58">
        <v>0</v>
      </c>
      <c r="N341" s="17" t="s">
        <v>337</v>
      </c>
    </row>
    <row r="342" spans="1:14" ht="20.100000000000001" customHeight="1">
      <c r="A342" s="163"/>
      <c r="B342" s="19">
        <v>0</v>
      </c>
      <c r="C342" s="38" t="str">
        <f>$C$11</f>
        <v>Pão</v>
      </c>
      <c r="D342" s="30"/>
      <c r="E342" s="68" t="s">
        <v>297</v>
      </c>
      <c r="F342" s="156" t="s">
        <v>377</v>
      </c>
      <c r="G342" s="157"/>
      <c r="H342" s="157"/>
      <c r="I342" s="157"/>
      <c r="J342" s="157"/>
      <c r="K342" s="157"/>
      <c r="L342" s="157"/>
      <c r="M342" s="158"/>
      <c r="N342" s="16"/>
    </row>
    <row r="343" spans="1:14" ht="20.100000000000001" customHeight="1">
      <c r="A343" s="32"/>
      <c r="B343" s="28">
        <v>0</v>
      </c>
      <c r="C343" s="33"/>
      <c r="D343" s="30"/>
      <c r="E343" s="69"/>
      <c r="F343" s="34"/>
      <c r="G343" s="34"/>
      <c r="H343" s="34"/>
      <c r="I343" s="34"/>
      <c r="J343" s="34"/>
      <c r="K343" s="34"/>
      <c r="L343" s="34"/>
      <c r="M343" s="34"/>
      <c r="N343" s="4"/>
    </row>
    <row r="344" spans="1:14" ht="20.100000000000001" customHeight="1" thickBot="1">
      <c r="A344" s="35"/>
      <c r="B344" s="19">
        <v>0</v>
      </c>
      <c r="C344" s="36"/>
      <c r="D344" s="30"/>
      <c r="E344" s="66"/>
      <c r="F344" s="41" t="s">
        <v>370</v>
      </c>
      <c r="G344" s="41" t="s">
        <v>371</v>
      </c>
      <c r="H344" s="41" t="s">
        <v>372</v>
      </c>
      <c r="I344" s="41" t="s">
        <v>373</v>
      </c>
      <c r="J344" s="41" t="s">
        <v>374</v>
      </c>
      <c r="K344" s="41" t="s">
        <v>602</v>
      </c>
      <c r="L344" s="41" t="s">
        <v>603</v>
      </c>
      <c r="M344" s="41" t="s">
        <v>376</v>
      </c>
      <c r="N344" s="13"/>
    </row>
    <row r="345" spans="1:14" ht="20.100000000000001" customHeight="1" thickTop="1">
      <c r="A345" s="159" t="s">
        <v>294</v>
      </c>
      <c r="B345" s="28">
        <v>0</v>
      </c>
      <c r="C345" s="37" t="str">
        <f>$C$7</f>
        <v>Sopa</v>
      </c>
      <c r="D345" s="30"/>
      <c r="E345" s="67" t="s">
        <v>304</v>
      </c>
      <c r="F345" s="42">
        <v>907.6</v>
      </c>
      <c r="G345" s="42">
        <v>216.9</v>
      </c>
      <c r="H345" s="42">
        <v>3.8</v>
      </c>
      <c r="I345" s="42">
        <v>0.6</v>
      </c>
      <c r="J345" s="42">
        <v>33.299999999999997</v>
      </c>
      <c r="K345" s="42">
        <v>6.1</v>
      </c>
      <c r="L345" s="42">
        <v>11.7</v>
      </c>
      <c r="M345" s="42">
        <v>0.2</v>
      </c>
      <c r="N345" s="44" t="s">
        <v>337</v>
      </c>
    </row>
    <row r="346" spans="1:14" ht="39.75" customHeight="1">
      <c r="A346" s="163"/>
      <c r="B346" s="19">
        <v>0</v>
      </c>
      <c r="C346" s="45" t="s">
        <v>290</v>
      </c>
      <c r="D346" s="30"/>
      <c r="E346" s="74" t="s">
        <v>456</v>
      </c>
      <c r="F346" s="42">
        <f>206+10007.1+795.2</f>
        <v>11008.300000000001</v>
      </c>
      <c r="G346" s="42">
        <f>49.2+240.7+190.1</f>
        <v>480</v>
      </c>
      <c r="H346" s="42">
        <f>0.5+5.7</f>
        <v>6.2</v>
      </c>
      <c r="I346" s="42">
        <f>0.2+0.9</f>
        <v>1.1000000000000001</v>
      </c>
      <c r="J346" s="42">
        <f>7.6+51.8+2.1</f>
        <v>61.5</v>
      </c>
      <c r="K346" s="42">
        <f>4.2+1.9+3.2</f>
        <v>9.3000000000000007</v>
      </c>
      <c r="L346" s="42">
        <f>4+6.8+32.6</f>
        <v>43.400000000000006</v>
      </c>
      <c r="M346" s="42">
        <v>1</v>
      </c>
      <c r="N346" s="17" t="s">
        <v>337</v>
      </c>
    </row>
    <row r="347" spans="1:14" ht="20.100000000000001" customHeight="1">
      <c r="A347" s="163"/>
      <c r="B347" s="28">
        <v>0</v>
      </c>
      <c r="C347" s="45" t="s">
        <v>174</v>
      </c>
      <c r="D347" s="30"/>
      <c r="E347" s="67" t="s">
        <v>457</v>
      </c>
      <c r="F347" s="42">
        <f>20+32.4+163.3</f>
        <v>215.70000000000002</v>
      </c>
      <c r="G347" s="42">
        <f>4.8+7.7+39.2</f>
        <v>51.7</v>
      </c>
      <c r="H347" s="42">
        <v>0.6</v>
      </c>
      <c r="I347" s="42">
        <v>0</v>
      </c>
      <c r="J347" s="42">
        <f>0.3+1.8+7.1</f>
        <v>9.1999999999999993</v>
      </c>
      <c r="K347" s="42">
        <f>0.3+1.6</f>
        <v>1.9000000000000001</v>
      </c>
      <c r="L347" s="42">
        <f>0.7+0.2+1.5</f>
        <v>2.4</v>
      </c>
      <c r="M347" s="42">
        <v>0.1</v>
      </c>
      <c r="N347" s="16" t="s">
        <v>337</v>
      </c>
    </row>
    <row r="348" spans="1:14" ht="20.100000000000001" customHeight="1">
      <c r="A348" s="163"/>
      <c r="B348" s="19">
        <v>0</v>
      </c>
      <c r="C348" s="38" t="str">
        <f>$C$10</f>
        <v>Sobremesa</v>
      </c>
      <c r="D348" s="30"/>
      <c r="E348" s="67" t="s">
        <v>415</v>
      </c>
      <c r="F348" s="42" t="s">
        <v>621</v>
      </c>
      <c r="G348" s="58" t="s">
        <v>622</v>
      </c>
      <c r="H348" s="58" t="s">
        <v>623</v>
      </c>
      <c r="I348" s="58" t="s">
        <v>624</v>
      </c>
      <c r="J348" s="58" t="s">
        <v>625</v>
      </c>
      <c r="K348" s="58" t="s">
        <v>626</v>
      </c>
      <c r="L348" s="58" t="s">
        <v>627</v>
      </c>
      <c r="M348" s="58" t="s">
        <v>628</v>
      </c>
      <c r="N348" s="17" t="s">
        <v>337</v>
      </c>
    </row>
    <row r="349" spans="1:14" ht="20.100000000000001" customHeight="1">
      <c r="A349" s="163"/>
      <c r="B349" s="28">
        <v>0</v>
      </c>
      <c r="C349" s="38" t="str">
        <f>$C$11</f>
        <v>Pão</v>
      </c>
      <c r="D349" s="30"/>
      <c r="E349" s="68" t="s">
        <v>297</v>
      </c>
      <c r="F349" s="156" t="s">
        <v>377</v>
      </c>
      <c r="G349" s="157"/>
      <c r="H349" s="157"/>
      <c r="I349" s="157"/>
      <c r="J349" s="157"/>
      <c r="K349" s="157"/>
      <c r="L349" s="157"/>
      <c r="M349" s="158"/>
      <c r="N349" s="16"/>
    </row>
    <row r="350" spans="1:14" ht="20.100000000000001" customHeight="1">
      <c r="A350" s="32"/>
      <c r="B350" s="19">
        <v>0</v>
      </c>
      <c r="C350" s="33"/>
      <c r="D350" s="30"/>
      <c r="E350" s="69"/>
      <c r="F350" s="34"/>
      <c r="G350" s="34"/>
      <c r="H350" s="34"/>
      <c r="I350" s="34"/>
      <c r="J350" s="34"/>
      <c r="K350" s="34"/>
      <c r="L350" s="34"/>
      <c r="M350" s="34"/>
      <c r="N350" s="4"/>
    </row>
    <row r="351" spans="1:14" ht="20.100000000000001" customHeight="1" thickBot="1">
      <c r="A351" s="35"/>
      <c r="B351" s="28">
        <v>0</v>
      </c>
      <c r="C351" s="36"/>
      <c r="D351" s="30"/>
      <c r="E351" s="66"/>
      <c r="F351" s="41" t="s">
        <v>370</v>
      </c>
      <c r="G351" s="41" t="s">
        <v>371</v>
      </c>
      <c r="H351" s="41" t="s">
        <v>372</v>
      </c>
      <c r="I351" s="41" t="s">
        <v>373</v>
      </c>
      <c r="J351" s="41" t="s">
        <v>374</v>
      </c>
      <c r="K351" s="41" t="s">
        <v>602</v>
      </c>
      <c r="L351" s="41" t="s">
        <v>603</v>
      </c>
      <c r="M351" s="41" t="s">
        <v>376</v>
      </c>
      <c r="N351" s="13"/>
    </row>
    <row r="352" spans="1:14" ht="20.100000000000001" customHeight="1" thickTop="1">
      <c r="A352" s="159" t="s">
        <v>295</v>
      </c>
      <c r="B352" s="19">
        <v>0</v>
      </c>
      <c r="C352" s="37" t="str">
        <f>$C$7</f>
        <v>Sopa</v>
      </c>
      <c r="D352" s="30"/>
      <c r="E352" s="67" t="s">
        <v>458</v>
      </c>
      <c r="F352" s="42">
        <v>427.8</v>
      </c>
      <c r="G352" s="42">
        <v>102.2</v>
      </c>
      <c r="H352" s="42">
        <v>3.6</v>
      </c>
      <c r="I352" s="42">
        <v>0.5</v>
      </c>
      <c r="J352" s="42">
        <v>13.5</v>
      </c>
      <c r="K352" s="42">
        <v>5.8</v>
      </c>
      <c r="L352" s="42">
        <v>4</v>
      </c>
      <c r="M352" s="42">
        <v>0.2</v>
      </c>
      <c r="N352" s="17" t="s">
        <v>337</v>
      </c>
    </row>
    <row r="353" spans="1:15" ht="42" customHeight="1">
      <c r="A353" s="163"/>
      <c r="B353" s="28">
        <v>0</v>
      </c>
      <c r="C353" s="45" t="s">
        <v>290</v>
      </c>
      <c r="D353" s="30"/>
      <c r="E353" s="67" t="s">
        <v>330</v>
      </c>
      <c r="F353" s="42">
        <v>2360.5</v>
      </c>
      <c r="G353" s="42">
        <v>564.1</v>
      </c>
      <c r="H353" s="42">
        <v>9.4</v>
      </c>
      <c r="I353" s="42">
        <v>2.6</v>
      </c>
      <c r="J353" s="42">
        <v>65.8</v>
      </c>
      <c r="K353" s="42">
        <v>0.9</v>
      </c>
      <c r="L353" s="42">
        <v>52.3</v>
      </c>
      <c r="M353" s="42">
        <v>1</v>
      </c>
      <c r="N353" s="17" t="s">
        <v>337</v>
      </c>
      <c r="O353" s="43"/>
    </row>
    <row r="354" spans="1:15" ht="20.100000000000001" customHeight="1">
      <c r="A354" s="163"/>
      <c r="B354" s="19">
        <v>0</v>
      </c>
      <c r="C354" s="45" t="s">
        <v>174</v>
      </c>
      <c r="D354" s="30"/>
      <c r="E354" s="67" t="s">
        <v>398</v>
      </c>
      <c r="F354" s="42">
        <f>20+25.6+40</f>
        <v>85.6</v>
      </c>
      <c r="G354" s="42">
        <f>4.8+6.1+9.6</f>
        <v>20.5</v>
      </c>
      <c r="H354" s="42">
        <f>0.1+0.2+0.2</f>
        <v>0.5</v>
      </c>
      <c r="I354" s="42">
        <v>0.1</v>
      </c>
      <c r="J354" s="42">
        <f>0.3+0.6+1.8</f>
        <v>2.7</v>
      </c>
      <c r="K354" s="42">
        <f>0.3+0.6+1.8</f>
        <v>2.7</v>
      </c>
      <c r="L354" s="42">
        <f>0.7+0.5+0.4</f>
        <v>1.6</v>
      </c>
      <c r="M354" s="42">
        <v>0</v>
      </c>
      <c r="N354" s="16" t="s">
        <v>337</v>
      </c>
    </row>
    <row r="355" spans="1:15" ht="20.100000000000001" customHeight="1">
      <c r="A355" s="163"/>
      <c r="B355" s="28">
        <v>0</v>
      </c>
      <c r="C355" s="38" t="str">
        <f>$C$10</f>
        <v>Sobremesa</v>
      </c>
      <c r="D355" s="30"/>
      <c r="E355" s="67" t="s">
        <v>298</v>
      </c>
      <c r="F355" s="42">
        <v>319.7</v>
      </c>
      <c r="G355" s="58">
        <v>76.400000000000006</v>
      </c>
      <c r="H355" s="58">
        <v>0.5</v>
      </c>
      <c r="I355" s="58">
        <v>0.2</v>
      </c>
      <c r="J355" s="58">
        <v>16.899999999999999</v>
      </c>
      <c r="K355" s="58">
        <v>16.7</v>
      </c>
      <c r="L355" s="58">
        <v>1.1000000000000001</v>
      </c>
      <c r="M355" s="58">
        <v>0</v>
      </c>
      <c r="N355" s="17" t="s">
        <v>337</v>
      </c>
    </row>
    <row r="356" spans="1:15" ht="20.100000000000001" customHeight="1">
      <c r="A356" s="163"/>
      <c r="B356" s="19">
        <v>0</v>
      </c>
      <c r="C356" s="38" t="str">
        <f>$C$11</f>
        <v>Pão</v>
      </c>
      <c r="D356" s="30"/>
      <c r="E356" s="68" t="s">
        <v>297</v>
      </c>
      <c r="F356" s="156" t="s">
        <v>377</v>
      </c>
      <c r="G356" s="157"/>
      <c r="H356" s="157"/>
      <c r="I356" s="157"/>
      <c r="J356" s="157"/>
      <c r="K356" s="157"/>
      <c r="L356" s="157"/>
      <c r="M356" s="158"/>
      <c r="N356" s="16"/>
    </row>
    <row r="357" spans="1:15" ht="20.100000000000001" customHeight="1">
      <c r="A357" s="32"/>
      <c r="B357" s="28">
        <v>0</v>
      </c>
      <c r="C357" s="33"/>
      <c r="D357" s="30"/>
      <c r="E357" s="69"/>
      <c r="F357" s="34"/>
      <c r="G357" s="34"/>
      <c r="H357" s="34"/>
      <c r="I357" s="34"/>
      <c r="J357" s="34"/>
      <c r="K357" s="34"/>
      <c r="L357" s="34"/>
      <c r="M357" s="34"/>
      <c r="N357" s="4"/>
    </row>
    <row r="358" spans="1:15" ht="20.100000000000001" customHeight="1" thickBot="1">
      <c r="A358" s="35"/>
      <c r="B358" s="19">
        <v>0</v>
      </c>
      <c r="C358" s="36"/>
      <c r="D358" s="30"/>
      <c r="E358" s="66"/>
      <c r="F358" s="41" t="s">
        <v>370</v>
      </c>
      <c r="G358" s="41" t="s">
        <v>371</v>
      </c>
      <c r="H358" s="41" t="s">
        <v>372</v>
      </c>
      <c r="I358" s="41" t="s">
        <v>373</v>
      </c>
      <c r="J358" s="41" t="s">
        <v>374</v>
      </c>
      <c r="K358" s="41" t="s">
        <v>602</v>
      </c>
      <c r="L358" s="41" t="s">
        <v>603</v>
      </c>
      <c r="M358" s="41" t="s">
        <v>376</v>
      </c>
      <c r="N358" s="13"/>
    </row>
    <row r="359" spans="1:15" ht="20.100000000000001" customHeight="1" thickTop="1">
      <c r="A359" s="159" t="s">
        <v>296</v>
      </c>
      <c r="B359" s="28">
        <v>0</v>
      </c>
      <c r="C359" s="37" t="str">
        <f>$C$7</f>
        <v>Sopa</v>
      </c>
      <c r="D359" s="30"/>
      <c r="E359" s="67" t="s">
        <v>218</v>
      </c>
      <c r="F359" s="42">
        <v>438.9</v>
      </c>
      <c r="G359" s="42">
        <v>104.9</v>
      </c>
      <c r="H359" s="42">
        <v>3.3</v>
      </c>
      <c r="I359" s="42">
        <v>0.5</v>
      </c>
      <c r="J359" s="42">
        <v>15.4</v>
      </c>
      <c r="K359" s="42">
        <v>4.0999999999999996</v>
      </c>
      <c r="L359" s="42">
        <v>3.2</v>
      </c>
      <c r="M359" s="42">
        <v>0.2</v>
      </c>
      <c r="N359" s="17" t="s">
        <v>337</v>
      </c>
    </row>
    <row r="360" spans="1:15" ht="18" customHeight="1">
      <c r="A360" s="163"/>
      <c r="B360" s="19">
        <v>0</v>
      </c>
      <c r="C360" s="45" t="s">
        <v>290</v>
      </c>
      <c r="D360" s="30"/>
      <c r="E360" s="67" t="s">
        <v>459</v>
      </c>
      <c r="F360" s="57">
        <v>1963.1</v>
      </c>
      <c r="G360" s="57">
        <v>469.2</v>
      </c>
      <c r="H360" s="57">
        <v>8.6999999999999993</v>
      </c>
      <c r="I360" s="57">
        <v>1.6</v>
      </c>
      <c r="J360" s="57">
        <v>55.3</v>
      </c>
      <c r="K360" s="57">
        <v>6.2</v>
      </c>
      <c r="L360" s="57">
        <v>41</v>
      </c>
      <c r="M360" s="57">
        <v>5.8</v>
      </c>
      <c r="N360" s="17" t="s">
        <v>337</v>
      </c>
    </row>
    <row r="361" spans="1:15" ht="20.100000000000001" customHeight="1">
      <c r="A361" s="163"/>
      <c r="B361" s="28">
        <v>0</v>
      </c>
      <c r="C361" s="45" t="s">
        <v>174</v>
      </c>
      <c r="D361" s="30"/>
      <c r="E361" s="67" t="s">
        <v>460</v>
      </c>
      <c r="F361" s="42">
        <f>20+163.3+23</f>
        <v>206.3</v>
      </c>
      <c r="G361" s="42">
        <f>4.8+39.2+5.5</f>
        <v>49.5</v>
      </c>
      <c r="H361" s="42">
        <v>0.8</v>
      </c>
      <c r="I361" s="42">
        <v>0</v>
      </c>
      <c r="J361" s="42">
        <f>0.3+7.1+0.7</f>
        <v>8.1</v>
      </c>
      <c r="K361" s="42">
        <f>0.3+0.6</f>
        <v>0.89999999999999991</v>
      </c>
      <c r="L361" s="42">
        <f>0.7+1.5+0.4</f>
        <v>2.6</v>
      </c>
      <c r="M361" s="42">
        <v>0</v>
      </c>
      <c r="N361" s="16" t="s">
        <v>337</v>
      </c>
    </row>
    <row r="362" spans="1:15" ht="20.100000000000001" customHeight="1">
      <c r="A362" s="163"/>
      <c r="B362" s="19">
        <v>0</v>
      </c>
      <c r="C362" s="38" t="str">
        <f>$C$10</f>
        <v>Sobremesa</v>
      </c>
      <c r="D362" s="30"/>
      <c r="E362" s="67" t="s">
        <v>463</v>
      </c>
      <c r="F362" s="42" t="s">
        <v>635</v>
      </c>
      <c r="G362" s="58" t="s">
        <v>636</v>
      </c>
      <c r="H362" s="58" t="s">
        <v>637</v>
      </c>
      <c r="I362" s="58" t="s">
        <v>632</v>
      </c>
      <c r="J362" s="58" t="s">
        <v>638</v>
      </c>
      <c r="K362" s="58" t="s">
        <v>639</v>
      </c>
      <c r="L362" s="58" t="s">
        <v>640</v>
      </c>
      <c r="M362" s="58" t="s">
        <v>620</v>
      </c>
      <c r="N362" s="17" t="s">
        <v>337</v>
      </c>
    </row>
    <row r="363" spans="1:15" ht="20.100000000000001" customHeight="1">
      <c r="A363" s="163"/>
      <c r="B363" s="28">
        <v>0</v>
      </c>
      <c r="C363" s="38" t="str">
        <f>$C$11</f>
        <v>Pão</v>
      </c>
      <c r="D363" s="30"/>
      <c r="E363" s="68" t="s">
        <v>297</v>
      </c>
      <c r="F363" s="156" t="s">
        <v>377</v>
      </c>
      <c r="G363" s="157"/>
      <c r="H363" s="157"/>
      <c r="I363" s="157"/>
      <c r="J363" s="157"/>
      <c r="K363" s="157"/>
      <c r="L363" s="157"/>
      <c r="M363" s="158"/>
      <c r="N363" s="16"/>
    </row>
    <row r="364" spans="1:15" ht="123" customHeight="1">
      <c r="A364" s="167" t="str">
        <f>+A$40</f>
        <v xml:space="preserve">
A sua refeição contém ou pode conter as seguintes substâncias ou produtos e seus derivados: 1Cereais que contêm glúten, 2Crustáceos , 3Ovos, 4Peixes, 5Amendoins, 6Soja, 7Leite, 8Frutos de casca rija, 9Aipo, 10Mostarda, 11Sementes de sésamo, 12Dióxido de enxofre e sulfitos, 13Tremoço, 14Moluscos. 
Para quem não é alérgico ou intolerante, estas substâncias ou produtos são completamente inofensivas. 
Caso necessite informação adicional sobre os produtos em causa deve solicitar aos funcionários.
Declaração nutricional: valores médios de 100 g ou 100 ml, calculados a partir dos valores médios conhecidos dos ingredientes utilizados, segundo o Instituto Nacional de Saúde Dr. Ricardo Jorge, Tabela da Composição de Alimentos (2007), e a informação disponibilizada pelos fornecedores.
Legenda: VE - Valor energético, Líp. - Lípidos, AG Sat. - Ácidos Gordos Saturados, HC - Hidratos de Carbono, Prot. - Proteínas.
</v>
      </c>
      <c r="B364" s="168"/>
      <c r="C364" s="168"/>
      <c r="D364" s="168"/>
      <c r="E364" s="168"/>
      <c r="F364" s="168"/>
      <c r="G364" s="168"/>
      <c r="H364" s="168"/>
      <c r="I364" s="168"/>
      <c r="J364" s="168"/>
      <c r="K364" s="168"/>
      <c r="L364" s="168"/>
      <c r="M364" s="168"/>
      <c r="N364" s="5"/>
    </row>
    <row r="365" spans="1:15" ht="18.75" hidden="1" customHeight="1">
      <c r="E365" s="63"/>
      <c r="F365" s="21"/>
      <c r="G365" s="21"/>
      <c r="H365" s="21"/>
      <c r="I365" s="21"/>
      <c r="J365" s="21"/>
      <c r="K365" s="21"/>
      <c r="L365" s="21"/>
      <c r="M365" s="21"/>
      <c r="N365" s="10"/>
    </row>
    <row r="366" spans="1:15" ht="18.75" hidden="1" customHeight="1">
      <c r="A366" s="22">
        <v>0</v>
      </c>
      <c r="B366" s="23">
        <v>0</v>
      </c>
      <c r="C366" s="23">
        <v>0</v>
      </c>
      <c r="D366" s="19">
        <v>0</v>
      </c>
      <c r="E366" s="63">
        <v>0</v>
      </c>
      <c r="F366" s="24"/>
      <c r="G366" s="24"/>
      <c r="H366" s="24"/>
      <c r="I366" s="24"/>
      <c r="J366" s="24"/>
      <c r="K366" s="24"/>
      <c r="L366" s="24"/>
      <c r="M366" s="24"/>
      <c r="N366" s="11"/>
    </row>
    <row r="367" spans="1:15" ht="18.75" hidden="1" customHeight="1">
      <c r="B367" s="19">
        <v>0</v>
      </c>
      <c r="C367" s="25" t="s">
        <v>368</v>
      </c>
      <c r="D367" s="26"/>
      <c r="E367" s="65"/>
      <c r="F367" s="27"/>
      <c r="G367" s="27"/>
      <c r="H367" s="27"/>
      <c r="I367" s="27"/>
      <c r="J367" s="27"/>
      <c r="K367" s="27"/>
      <c r="L367" s="27"/>
      <c r="M367" s="27"/>
      <c r="N367" s="2"/>
    </row>
    <row r="368" spans="1:15" ht="18.75" hidden="1" customHeight="1" thickBot="1">
      <c r="B368" s="19">
        <v>0</v>
      </c>
      <c r="E368" s="66"/>
      <c r="F368" s="41" t="s">
        <v>370</v>
      </c>
      <c r="G368" s="41" t="s">
        <v>371</v>
      </c>
      <c r="H368" s="41" t="s">
        <v>372</v>
      </c>
      <c r="I368" s="41" t="s">
        <v>373</v>
      </c>
      <c r="J368" s="41" t="s">
        <v>374</v>
      </c>
      <c r="K368" s="41" t="s">
        <v>375</v>
      </c>
      <c r="L368" s="41" t="s">
        <v>376</v>
      </c>
      <c r="M368" s="41" t="s">
        <v>376</v>
      </c>
      <c r="N368" s="2"/>
    </row>
    <row r="369" spans="1:14" ht="18.75" hidden="1" customHeight="1" thickTop="1">
      <c r="A369" s="159" t="s">
        <v>288</v>
      </c>
      <c r="B369" s="28">
        <v>0</v>
      </c>
      <c r="C369" s="29" t="s">
        <v>289</v>
      </c>
      <c r="D369" s="30"/>
      <c r="E369" s="67"/>
      <c r="F369" s="42"/>
      <c r="G369" s="42"/>
      <c r="H369" s="42"/>
      <c r="I369" s="42"/>
      <c r="J369" s="42"/>
      <c r="K369" s="42"/>
      <c r="L369" s="42"/>
      <c r="M369" s="42"/>
      <c r="N369" s="12"/>
    </row>
    <row r="370" spans="1:14" ht="18" hidden="1">
      <c r="A370" s="160"/>
      <c r="B370" s="19">
        <v>0</v>
      </c>
      <c r="C370" s="161" t="s">
        <v>369</v>
      </c>
      <c r="D370" s="30"/>
      <c r="E370" s="67"/>
      <c r="F370" s="154"/>
      <c r="G370" s="154"/>
      <c r="H370" s="154"/>
      <c r="I370" s="154"/>
      <c r="J370" s="154"/>
      <c r="K370" s="154"/>
      <c r="L370" s="154"/>
      <c r="M370" s="154"/>
      <c r="N370" s="12"/>
    </row>
    <row r="371" spans="1:14" ht="18.75" hidden="1" customHeight="1">
      <c r="A371" s="160"/>
      <c r="B371" s="28">
        <v>0</v>
      </c>
      <c r="C371" s="161"/>
      <c r="D371" s="30"/>
      <c r="E371" s="67"/>
      <c r="F371" s="155"/>
      <c r="G371" s="155"/>
      <c r="H371" s="155"/>
      <c r="I371" s="155"/>
      <c r="J371" s="155"/>
      <c r="K371" s="155"/>
      <c r="L371" s="155"/>
      <c r="M371" s="155"/>
      <c r="N371" s="12"/>
    </row>
    <row r="372" spans="1:14" ht="18.75" hidden="1" customHeight="1">
      <c r="A372" s="160"/>
      <c r="B372" s="19">
        <v>0</v>
      </c>
      <c r="C372" s="31" t="s">
        <v>291</v>
      </c>
      <c r="D372" s="30"/>
      <c r="E372" s="67"/>
      <c r="F372" s="42"/>
      <c r="G372" s="42"/>
      <c r="H372" s="42"/>
      <c r="I372" s="42"/>
      <c r="J372" s="42"/>
      <c r="K372" s="42"/>
      <c r="L372" s="42"/>
      <c r="M372" s="42"/>
      <c r="N372" s="12"/>
    </row>
    <row r="373" spans="1:14" ht="18.75" hidden="1" customHeight="1">
      <c r="A373" s="160"/>
      <c r="B373" s="28">
        <v>0</v>
      </c>
      <c r="C373" s="31" t="s">
        <v>292</v>
      </c>
      <c r="D373" s="30"/>
      <c r="E373" s="68"/>
      <c r="F373" s="156"/>
      <c r="G373" s="157"/>
      <c r="H373" s="157"/>
      <c r="I373" s="157"/>
      <c r="J373" s="157"/>
      <c r="K373" s="157"/>
      <c r="L373" s="157"/>
      <c r="M373" s="158"/>
      <c r="N373" s="12"/>
    </row>
    <row r="374" spans="1:14" ht="18.75" hidden="1" customHeight="1">
      <c r="A374" s="32"/>
      <c r="B374" s="19">
        <v>0</v>
      </c>
      <c r="C374" s="33">
        <v>0</v>
      </c>
      <c r="D374" s="30"/>
      <c r="E374" s="69"/>
      <c r="F374" s="34"/>
      <c r="G374" s="34"/>
      <c r="H374" s="34"/>
      <c r="I374" s="34"/>
      <c r="J374" s="34"/>
      <c r="K374" s="34"/>
      <c r="L374" s="34"/>
      <c r="M374" s="34"/>
      <c r="N374" s="12"/>
    </row>
    <row r="375" spans="1:14" ht="18.75" hidden="1" customHeight="1" thickBot="1">
      <c r="A375" s="35"/>
      <c r="B375" s="28">
        <v>0</v>
      </c>
      <c r="C375" s="36"/>
      <c r="D375" s="30"/>
      <c r="E375" s="66"/>
      <c r="F375" s="41" t="s">
        <v>370</v>
      </c>
      <c r="G375" s="41" t="s">
        <v>371</v>
      </c>
      <c r="H375" s="41" t="s">
        <v>372</v>
      </c>
      <c r="I375" s="41" t="s">
        <v>373</v>
      </c>
      <c r="J375" s="41" t="s">
        <v>374</v>
      </c>
      <c r="K375" s="41" t="s">
        <v>375</v>
      </c>
      <c r="L375" s="41" t="s">
        <v>376</v>
      </c>
      <c r="M375" s="41" t="s">
        <v>376</v>
      </c>
      <c r="N375" s="12"/>
    </row>
    <row r="376" spans="1:14" ht="18.75" hidden="1" customHeight="1" thickTop="1">
      <c r="A376" s="159" t="s">
        <v>293</v>
      </c>
      <c r="B376" s="19">
        <v>0</v>
      </c>
      <c r="C376" s="37" t="str">
        <f>$C$7</f>
        <v>Sopa</v>
      </c>
      <c r="D376" s="30"/>
      <c r="E376" s="67"/>
      <c r="F376" s="42"/>
      <c r="G376" s="42"/>
      <c r="H376" s="42"/>
      <c r="I376" s="42"/>
      <c r="J376" s="42"/>
      <c r="K376" s="42"/>
      <c r="L376" s="42"/>
      <c r="M376" s="42"/>
      <c r="N376" s="12"/>
    </row>
    <row r="377" spans="1:14" ht="18.75" hidden="1" customHeight="1">
      <c r="A377" s="160"/>
      <c r="B377" s="28">
        <v>0</v>
      </c>
      <c r="C377" s="162" t="str">
        <f>$C$8</f>
        <v>Prato e Vegetais</v>
      </c>
      <c r="D377" s="30"/>
      <c r="E377" s="67"/>
      <c r="F377" s="154"/>
      <c r="G377" s="154"/>
      <c r="H377" s="154"/>
      <c r="I377" s="154"/>
      <c r="J377" s="154"/>
      <c r="K377" s="154"/>
      <c r="L377" s="154"/>
      <c r="M377" s="154"/>
      <c r="N377" s="12"/>
    </row>
    <row r="378" spans="1:14" ht="18.75" hidden="1" customHeight="1">
      <c r="A378" s="160"/>
      <c r="B378" s="19">
        <v>0</v>
      </c>
      <c r="C378" s="162">
        <f>$C$9</f>
        <v>0</v>
      </c>
      <c r="D378" s="30"/>
      <c r="E378" s="67"/>
      <c r="F378" s="155"/>
      <c r="G378" s="155"/>
      <c r="H378" s="155"/>
      <c r="I378" s="155"/>
      <c r="J378" s="155"/>
      <c r="K378" s="155"/>
      <c r="L378" s="155"/>
      <c r="M378" s="155"/>
      <c r="N378" s="12"/>
    </row>
    <row r="379" spans="1:14" ht="18.75" hidden="1" customHeight="1">
      <c r="A379" s="160"/>
      <c r="B379" s="28">
        <v>0</v>
      </c>
      <c r="C379" s="38" t="str">
        <f>$C$10</f>
        <v>Sobremesa</v>
      </c>
      <c r="D379" s="30"/>
      <c r="E379" s="67"/>
      <c r="F379" s="42"/>
      <c r="G379" s="42"/>
      <c r="H379" s="42"/>
      <c r="I379" s="42"/>
      <c r="J379" s="42"/>
      <c r="K379" s="42"/>
      <c r="L379" s="42"/>
      <c r="M379" s="42"/>
      <c r="N379" s="12"/>
    </row>
    <row r="380" spans="1:14" ht="18.75" hidden="1" customHeight="1">
      <c r="A380" s="160"/>
      <c r="B380" s="19">
        <v>0</v>
      </c>
      <c r="C380" s="38" t="str">
        <f>$C$11</f>
        <v>Pão</v>
      </c>
      <c r="D380" s="30"/>
      <c r="E380" s="68"/>
      <c r="F380" s="156"/>
      <c r="G380" s="157"/>
      <c r="H380" s="157"/>
      <c r="I380" s="157"/>
      <c r="J380" s="157"/>
      <c r="K380" s="157"/>
      <c r="L380" s="157"/>
      <c r="M380" s="158"/>
      <c r="N380" s="12"/>
    </row>
    <row r="381" spans="1:14" ht="18.75" hidden="1" customHeight="1">
      <c r="A381" s="32"/>
      <c r="B381" s="28">
        <v>0</v>
      </c>
      <c r="C381" s="33">
        <v>0</v>
      </c>
      <c r="D381" s="30"/>
      <c r="E381" s="69"/>
      <c r="F381" s="34"/>
      <c r="G381" s="34"/>
      <c r="H381" s="34"/>
      <c r="I381" s="34"/>
      <c r="J381" s="34"/>
      <c r="K381" s="34"/>
      <c r="L381" s="34"/>
      <c r="M381" s="34"/>
      <c r="N381" s="12"/>
    </row>
    <row r="382" spans="1:14" ht="18.75" hidden="1" customHeight="1" thickBot="1">
      <c r="A382" s="35"/>
      <c r="B382" s="19">
        <v>0</v>
      </c>
      <c r="C382" s="36"/>
      <c r="D382" s="30"/>
      <c r="E382" s="66"/>
      <c r="F382" s="41" t="s">
        <v>370</v>
      </c>
      <c r="G382" s="41" t="s">
        <v>371</v>
      </c>
      <c r="H382" s="41" t="s">
        <v>372</v>
      </c>
      <c r="I382" s="41" t="s">
        <v>373</v>
      </c>
      <c r="J382" s="41" t="s">
        <v>374</v>
      </c>
      <c r="K382" s="41" t="s">
        <v>375</v>
      </c>
      <c r="L382" s="41" t="s">
        <v>376</v>
      </c>
      <c r="M382" s="41" t="s">
        <v>376</v>
      </c>
      <c r="N382" s="12"/>
    </row>
    <row r="383" spans="1:14" ht="18.75" hidden="1" customHeight="1" thickTop="1">
      <c r="A383" s="159" t="s">
        <v>294</v>
      </c>
      <c r="B383" s="28">
        <v>0</v>
      </c>
      <c r="C383" s="37" t="str">
        <f>$C$7</f>
        <v>Sopa</v>
      </c>
      <c r="D383" s="30"/>
      <c r="E383" s="67"/>
      <c r="F383" s="42"/>
      <c r="G383" s="42"/>
      <c r="H383" s="42"/>
      <c r="I383" s="42"/>
      <c r="J383" s="42"/>
      <c r="K383" s="42"/>
      <c r="L383" s="42"/>
      <c r="M383" s="42"/>
      <c r="N383" s="12"/>
    </row>
    <row r="384" spans="1:14" ht="18.75" hidden="1" customHeight="1">
      <c r="A384" s="160"/>
      <c r="B384" s="19">
        <v>0</v>
      </c>
      <c r="C384" s="162" t="str">
        <f>$C$8</f>
        <v>Prato e Vegetais</v>
      </c>
      <c r="D384" s="30"/>
      <c r="E384" s="67"/>
      <c r="F384" s="154"/>
      <c r="G384" s="154"/>
      <c r="H384" s="154"/>
      <c r="I384" s="154"/>
      <c r="J384" s="154"/>
      <c r="K384" s="154"/>
      <c r="L384" s="154"/>
      <c r="M384" s="154"/>
      <c r="N384" s="12"/>
    </row>
    <row r="385" spans="1:14" ht="18.75" hidden="1" customHeight="1">
      <c r="A385" s="160"/>
      <c r="B385" s="28">
        <v>0</v>
      </c>
      <c r="C385" s="162">
        <f>$C$9</f>
        <v>0</v>
      </c>
      <c r="D385" s="30"/>
      <c r="E385" s="67"/>
      <c r="F385" s="155"/>
      <c r="G385" s="155"/>
      <c r="H385" s="155"/>
      <c r="I385" s="155"/>
      <c r="J385" s="155"/>
      <c r="K385" s="155"/>
      <c r="L385" s="155"/>
      <c r="M385" s="155"/>
      <c r="N385" s="12"/>
    </row>
    <row r="386" spans="1:14" ht="18.75" hidden="1" customHeight="1">
      <c r="A386" s="160"/>
      <c r="B386" s="19">
        <v>0</v>
      </c>
      <c r="C386" s="38" t="str">
        <f>$C$10</f>
        <v>Sobremesa</v>
      </c>
      <c r="D386" s="30"/>
      <c r="E386" s="67"/>
      <c r="F386" s="42"/>
      <c r="G386" s="42"/>
      <c r="H386" s="42"/>
      <c r="I386" s="42"/>
      <c r="J386" s="42"/>
      <c r="K386" s="42"/>
      <c r="L386" s="42"/>
      <c r="M386" s="42"/>
      <c r="N386" s="12"/>
    </row>
    <row r="387" spans="1:14" ht="18.75" hidden="1" customHeight="1">
      <c r="A387" s="160"/>
      <c r="B387" s="28">
        <v>0</v>
      </c>
      <c r="C387" s="38" t="str">
        <f>$C$11</f>
        <v>Pão</v>
      </c>
      <c r="D387" s="30"/>
      <c r="E387" s="68"/>
      <c r="F387" s="156"/>
      <c r="G387" s="157"/>
      <c r="H387" s="157"/>
      <c r="I387" s="157"/>
      <c r="J387" s="157"/>
      <c r="K387" s="157"/>
      <c r="L387" s="157"/>
      <c r="M387" s="158"/>
      <c r="N387" s="12"/>
    </row>
    <row r="388" spans="1:14" ht="18.75" hidden="1" customHeight="1">
      <c r="A388" s="32"/>
      <c r="B388" s="19">
        <v>0</v>
      </c>
      <c r="C388" s="33">
        <v>0</v>
      </c>
      <c r="D388" s="30"/>
      <c r="E388" s="69"/>
      <c r="F388" s="34"/>
      <c r="G388" s="34"/>
      <c r="H388" s="34"/>
      <c r="I388" s="34"/>
      <c r="J388" s="34"/>
      <c r="K388" s="34"/>
      <c r="L388" s="34"/>
      <c r="M388" s="34"/>
      <c r="N388" s="12"/>
    </row>
    <row r="389" spans="1:14" ht="18.75" hidden="1" customHeight="1" thickBot="1">
      <c r="A389" s="35"/>
      <c r="B389" s="28">
        <v>0</v>
      </c>
      <c r="C389" s="36"/>
      <c r="D389" s="30"/>
      <c r="E389" s="66"/>
      <c r="F389" s="41" t="s">
        <v>370</v>
      </c>
      <c r="G389" s="41" t="s">
        <v>371</v>
      </c>
      <c r="H389" s="41" t="s">
        <v>372</v>
      </c>
      <c r="I389" s="41" t="s">
        <v>373</v>
      </c>
      <c r="J389" s="41" t="s">
        <v>374</v>
      </c>
      <c r="K389" s="41" t="s">
        <v>375</v>
      </c>
      <c r="L389" s="41" t="s">
        <v>376</v>
      </c>
      <c r="M389" s="41" t="s">
        <v>376</v>
      </c>
      <c r="N389" s="12"/>
    </row>
    <row r="390" spans="1:14" ht="18.75" hidden="1" customHeight="1" thickTop="1">
      <c r="A390" s="159" t="s">
        <v>295</v>
      </c>
      <c r="B390" s="19">
        <v>0</v>
      </c>
      <c r="C390" s="37" t="str">
        <f>$C$7</f>
        <v>Sopa</v>
      </c>
      <c r="D390" s="30"/>
      <c r="E390" s="67"/>
      <c r="F390" s="42"/>
      <c r="G390" s="42"/>
      <c r="H390" s="42"/>
      <c r="I390" s="42"/>
      <c r="J390" s="42"/>
      <c r="K390" s="42"/>
      <c r="L390" s="42"/>
      <c r="M390" s="42"/>
      <c r="N390" s="12"/>
    </row>
    <row r="391" spans="1:14" ht="18.75" hidden="1" customHeight="1">
      <c r="A391" s="160"/>
      <c r="B391" s="28">
        <v>0</v>
      </c>
      <c r="C391" s="161" t="str">
        <f>$C$8</f>
        <v>Prato e Vegetais</v>
      </c>
      <c r="D391" s="30"/>
      <c r="E391" s="67"/>
      <c r="F391" s="154"/>
      <c r="G391" s="154"/>
      <c r="H391" s="154"/>
      <c r="I391" s="154"/>
      <c r="J391" s="154"/>
      <c r="K391" s="154"/>
      <c r="L391" s="154"/>
      <c r="M391" s="154"/>
      <c r="N391" s="12"/>
    </row>
    <row r="392" spans="1:14" ht="18.75" hidden="1" customHeight="1">
      <c r="A392" s="160"/>
      <c r="B392" s="19">
        <v>0</v>
      </c>
      <c r="C392" s="161">
        <f>$C$9</f>
        <v>0</v>
      </c>
      <c r="D392" s="30"/>
      <c r="E392" s="67"/>
      <c r="F392" s="155"/>
      <c r="G392" s="155"/>
      <c r="H392" s="155"/>
      <c r="I392" s="155"/>
      <c r="J392" s="155"/>
      <c r="K392" s="155"/>
      <c r="L392" s="155"/>
      <c r="M392" s="155"/>
      <c r="N392" s="12"/>
    </row>
    <row r="393" spans="1:14" ht="18.75" hidden="1" customHeight="1">
      <c r="A393" s="160"/>
      <c r="B393" s="28">
        <v>0</v>
      </c>
      <c r="C393" s="38" t="str">
        <f>$C$10</f>
        <v>Sobremesa</v>
      </c>
      <c r="D393" s="30"/>
      <c r="E393" s="67"/>
      <c r="F393" s="42"/>
      <c r="G393" s="42"/>
      <c r="H393" s="42"/>
      <c r="I393" s="42"/>
      <c r="J393" s="42"/>
      <c r="K393" s="42"/>
      <c r="L393" s="42"/>
      <c r="M393" s="42"/>
      <c r="N393" s="12"/>
    </row>
    <row r="394" spans="1:14" ht="18.75" hidden="1" customHeight="1">
      <c r="A394" s="160"/>
      <c r="B394" s="19">
        <v>0</v>
      </c>
      <c r="C394" s="38" t="str">
        <f>$C$11</f>
        <v>Pão</v>
      </c>
      <c r="D394" s="30"/>
      <c r="E394" s="68"/>
      <c r="F394" s="156"/>
      <c r="G394" s="157"/>
      <c r="H394" s="157"/>
      <c r="I394" s="157"/>
      <c r="J394" s="157"/>
      <c r="K394" s="157"/>
      <c r="L394" s="157"/>
      <c r="M394" s="158"/>
      <c r="N394" s="12"/>
    </row>
    <row r="395" spans="1:14" ht="18.75" hidden="1" customHeight="1">
      <c r="A395" s="32"/>
      <c r="B395" s="28">
        <v>0</v>
      </c>
      <c r="C395" s="33">
        <v>0</v>
      </c>
      <c r="D395" s="30"/>
      <c r="E395" s="69"/>
      <c r="F395" s="34"/>
      <c r="G395" s="34"/>
      <c r="H395" s="34"/>
      <c r="I395" s="34"/>
      <c r="J395" s="34"/>
      <c r="K395" s="34"/>
      <c r="L395" s="34"/>
      <c r="M395" s="34"/>
      <c r="N395" s="12"/>
    </row>
    <row r="396" spans="1:14" ht="18.75" hidden="1" customHeight="1" thickBot="1">
      <c r="A396" s="35"/>
      <c r="B396" s="19">
        <v>0</v>
      </c>
      <c r="C396" s="36"/>
      <c r="D396" s="30"/>
      <c r="E396" s="66"/>
      <c r="F396" s="41" t="s">
        <v>370</v>
      </c>
      <c r="G396" s="41" t="s">
        <v>371</v>
      </c>
      <c r="H396" s="41" t="s">
        <v>372</v>
      </c>
      <c r="I396" s="41" t="s">
        <v>373</v>
      </c>
      <c r="J396" s="41" t="s">
        <v>374</v>
      </c>
      <c r="K396" s="41" t="s">
        <v>375</v>
      </c>
      <c r="L396" s="41" t="s">
        <v>376</v>
      </c>
      <c r="M396" s="41" t="s">
        <v>376</v>
      </c>
      <c r="N396" s="12"/>
    </row>
    <row r="397" spans="1:14" ht="18.75" hidden="1" customHeight="1" thickTop="1">
      <c r="A397" s="159" t="s">
        <v>296</v>
      </c>
      <c r="B397" s="28">
        <v>0</v>
      </c>
      <c r="C397" s="37" t="str">
        <f>$C$7</f>
        <v>Sopa</v>
      </c>
      <c r="D397" s="30"/>
      <c r="E397" s="67"/>
      <c r="F397" s="42"/>
      <c r="G397" s="42"/>
      <c r="H397" s="42"/>
      <c r="I397" s="42"/>
      <c r="J397" s="42"/>
      <c r="K397" s="42"/>
      <c r="L397" s="42"/>
      <c r="M397" s="42"/>
      <c r="N397" s="12"/>
    </row>
    <row r="398" spans="1:14" ht="18" hidden="1">
      <c r="A398" s="160"/>
      <c r="B398" s="19">
        <v>0</v>
      </c>
      <c r="C398" s="161" t="str">
        <f>$C$8</f>
        <v>Prato e Vegetais</v>
      </c>
      <c r="D398" s="30"/>
      <c r="E398" s="67"/>
      <c r="F398" s="154"/>
      <c r="G398" s="154"/>
      <c r="H398" s="154"/>
      <c r="I398" s="154"/>
      <c r="J398" s="154"/>
      <c r="K398" s="154"/>
      <c r="L398" s="154"/>
      <c r="M398" s="154"/>
      <c r="N398" s="12"/>
    </row>
    <row r="399" spans="1:14" ht="18.75" hidden="1" customHeight="1">
      <c r="A399" s="160"/>
      <c r="B399" s="28">
        <v>0</v>
      </c>
      <c r="C399" s="161">
        <f>$C$9</f>
        <v>0</v>
      </c>
      <c r="D399" s="30"/>
      <c r="E399" s="67"/>
      <c r="F399" s="155"/>
      <c r="G399" s="155"/>
      <c r="H399" s="155"/>
      <c r="I399" s="155"/>
      <c r="J399" s="155"/>
      <c r="K399" s="155"/>
      <c r="L399" s="155"/>
      <c r="M399" s="155"/>
      <c r="N399" s="12"/>
    </row>
    <row r="400" spans="1:14" ht="18.75" hidden="1" customHeight="1">
      <c r="A400" s="160"/>
      <c r="B400" s="19">
        <v>0</v>
      </c>
      <c r="C400" s="38" t="str">
        <f>$C$10</f>
        <v>Sobremesa</v>
      </c>
      <c r="D400" s="30"/>
      <c r="E400" s="67"/>
      <c r="F400" s="42"/>
      <c r="G400" s="42"/>
      <c r="H400" s="42"/>
      <c r="I400" s="42"/>
      <c r="J400" s="42"/>
      <c r="K400" s="42"/>
      <c r="L400" s="42"/>
      <c r="M400" s="42"/>
      <c r="N400" s="12"/>
    </row>
    <row r="401" spans="1:22" ht="18.75" hidden="1" customHeight="1">
      <c r="A401" s="160"/>
      <c r="B401" s="28">
        <v>0</v>
      </c>
      <c r="C401" s="38" t="str">
        <f>$C$11</f>
        <v>Pão</v>
      </c>
      <c r="D401" s="30"/>
      <c r="E401" s="68"/>
      <c r="F401" s="156"/>
      <c r="G401" s="157"/>
      <c r="H401" s="157"/>
      <c r="I401" s="157"/>
      <c r="J401" s="157"/>
      <c r="K401" s="157"/>
      <c r="L401" s="157"/>
      <c r="M401" s="158"/>
      <c r="N401" s="12"/>
    </row>
    <row r="402" spans="1:22" ht="18.75" hidden="1" customHeight="1">
      <c r="A402" s="167" t="s">
        <v>378</v>
      </c>
      <c r="B402" s="168"/>
      <c r="C402" s="168"/>
      <c r="D402" s="168"/>
      <c r="E402" s="168"/>
      <c r="F402" s="168"/>
      <c r="G402" s="168"/>
      <c r="H402" s="168"/>
      <c r="I402" s="168"/>
      <c r="J402" s="168"/>
      <c r="K402" s="168"/>
      <c r="L402" s="168"/>
      <c r="M402" s="168"/>
      <c r="N402" s="12"/>
    </row>
    <row r="403" spans="1:22" ht="39.950000000000003" customHeight="1">
      <c r="B403" s="28">
        <v>0</v>
      </c>
      <c r="C403" s="61" t="s">
        <v>393</v>
      </c>
      <c r="D403" s="26"/>
      <c r="E403" s="70" t="s">
        <v>188</v>
      </c>
      <c r="F403" s="39"/>
      <c r="G403" s="39"/>
      <c r="H403" s="39"/>
      <c r="I403" s="39"/>
      <c r="J403" s="39"/>
      <c r="K403" s="39"/>
      <c r="L403" s="39"/>
      <c r="M403" s="39"/>
      <c r="N403" s="1"/>
    </row>
    <row r="404" spans="1:22" ht="18.75" thickBot="1">
      <c r="B404" s="19">
        <v>0</v>
      </c>
      <c r="F404" s="41" t="s">
        <v>370</v>
      </c>
      <c r="G404" s="41" t="s">
        <v>371</v>
      </c>
      <c r="H404" s="41" t="s">
        <v>372</v>
      </c>
      <c r="I404" s="41" t="s">
        <v>373</v>
      </c>
      <c r="J404" s="41" t="s">
        <v>374</v>
      </c>
      <c r="K404" s="41" t="s">
        <v>602</v>
      </c>
      <c r="L404" s="41" t="s">
        <v>603</v>
      </c>
      <c r="M404" s="41" t="s">
        <v>376</v>
      </c>
      <c r="N404" s="3"/>
    </row>
    <row r="405" spans="1:22" ht="20.100000000000001" customHeight="1" thickTop="1">
      <c r="A405" s="159" t="s">
        <v>288</v>
      </c>
      <c r="B405" s="28">
        <v>0</v>
      </c>
      <c r="C405" s="29" t="s">
        <v>289</v>
      </c>
      <c r="D405" s="30"/>
      <c r="E405" s="67" t="s">
        <v>356</v>
      </c>
      <c r="F405" s="42">
        <v>525.29999999999995</v>
      </c>
      <c r="G405" s="42">
        <v>125.6</v>
      </c>
      <c r="H405" s="42">
        <v>3.5</v>
      </c>
      <c r="I405" s="42">
        <v>0.5</v>
      </c>
      <c r="J405" s="42">
        <v>18.7</v>
      </c>
      <c r="K405" s="42">
        <v>5.5</v>
      </c>
      <c r="L405" s="42">
        <v>4.5</v>
      </c>
      <c r="M405" s="42">
        <v>0.2</v>
      </c>
      <c r="N405" s="17" t="s">
        <v>337</v>
      </c>
    </row>
    <row r="406" spans="1:22" ht="42" customHeight="1">
      <c r="A406" s="163"/>
      <c r="B406" s="19">
        <v>0</v>
      </c>
      <c r="C406" s="45" t="s">
        <v>290</v>
      </c>
      <c r="D406" s="30"/>
      <c r="E406" s="67" t="s">
        <v>219</v>
      </c>
      <c r="F406" s="42">
        <f>1166.3+1198.4</f>
        <v>2364.6999999999998</v>
      </c>
      <c r="G406" s="42">
        <f>278.7+286.4</f>
        <v>565.09999999999991</v>
      </c>
      <c r="H406" s="42">
        <f>10.8+1.5</f>
        <v>12.3</v>
      </c>
      <c r="I406" s="42">
        <v>3.3</v>
      </c>
      <c r="J406" s="42">
        <f>6.5+56.9</f>
        <v>63.4</v>
      </c>
      <c r="K406" s="42">
        <f>3.2+2.5</f>
        <v>5.7</v>
      </c>
      <c r="L406" s="42">
        <f>38.9+9.7</f>
        <v>48.599999999999994</v>
      </c>
      <c r="M406" s="42">
        <v>0.5</v>
      </c>
      <c r="N406" s="17" t="s">
        <v>337</v>
      </c>
    </row>
    <row r="407" spans="1:22" ht="20.100000000000001" customHeight="1">
      <c r="A407" s="163"/>
      <c r="B407" s="28">
        <v>0</v>
      </c>
      <c r="C407" s="45" t="s">
        <v>174</v>
      </c>
      <c r="D407" s="30"/>
      <c r="E407" s="67" t="s">
        <v>446</v>
      </c>
      <c r="F407" s="42">
        <f>20+32.4+163.3</f>
        <v>215.70000000000002</v>
      </c>
      <c r="G407" s="42">
        <f>4.8+7.7+39.2</f>
        <v>51.7</v>
      </c>
      <c r="H407" s="42">
        <v>0.6</v>
      </c>
      <c r="I407" s="42">
        <v>0</v>
      </c>
      <c r="J407" s="42">
        <f>0.3+1.8+7.1</f>
        <v>9.1999999999999993</v>
      </c>
      <c r="K407" s="42">
        <f>0.3+1.6</f>
        <v>1.9000000000000001</v>
      </c>
      <c r="L407" s="42">
        <f>0.7+0.2+1.5</f>
        <v>2.4</v>
      </c>
      <c r="M407" s="42">
        <v>0.1</v>
      </c>
      <c r="N407" s="16" t="s">
        <v>337</v>
      </c>
      <c r="O407" s="46"/>
      <c r="Q407" s="46"/>
      <c r="R407" s="46"/>
      <c r="S407" s="46"/>
      <c r="T407" s="46"/>
      <c r="U407" s="46"/>
      <c r="V407" s="46"/>
    </row>
    <row r="408" spans="1:22" ht="44.25" customHeight="1">
      <c r="A408" s="163"/>
      <c r="B408" s="19">
        <v>0</v>
      </c>
      <c r="C408" s="31" t="s">
        <v>291</v>
      </c>
      <c r="D408" s="30"/>
      <c r="E408" s="67" t="s">
        <v>298</v>
      </c>
      <c r="F408" s="42">
        <v>319.7</v>
      </c>
      <c r="G408" s="58">
        <v>76.400000000000006</v>
      </c>
      <c r="H408" s="58">
        <v>0.5</v>
      </c>
      <c r="I408" s="58">
        <v>0.2</v>
      </c>
      <c r="J408" s="58">
        <v>16.899999999999999</v>
      </c>
      <c r="K408" s="58">
        <v>16.7</v>
      </c>
      <c r="L408" s="58">
        <v>1.1000000000000001</v>
      </c>
      <c r="M408" s="58">
        <v>0</v>
      </c>
      <c r="N408" s="44" t="s">
        <v>337</v>
      </c>
    </row>
    <row r="409" spans="1:22" ht="20.100000000000001" customHeight="1">
      <c r="A409" s="163"/>
      <c r="B409" s="28">
        <v>0</v>
      </c>
      <c r="C409" s="31" t="s">
        <v>292</v>
      </c>
      <c r="D409" s="30"/>
      <c r="E409" s="67" t="s">
        <v>297</v>
      </c>
      <c r="F409" s="156" t="s">
        <v>380</v>
      </c>
      <c r="G409" s="157"/>
      <c r="H409" s="157"/>
      <c r="I409" s="157"/>
      <c r="J409" s="157"/>
      <c r="K409" s="157"/>
      <c r="L409" s="157"/>
      <c r="M409" s="158"/>
      <c r="N409" s="16"/>
    </row>
    <row r="410" spans="1:22" ht="20.100000000000001" customHeight="1">
      <c r="A410" s="32"/>
      <c r="B410" s="19">
        <v>0</v>
      </c>
      <c r="C410" s="33">
        <v>0</v>
      </c>
      <c r="D410" s="30"/>
      <c r="F410" s="34"/>
      <c r="G410" s="34"/>
      <c r="H410" s="34"/>
      <c r="I410" s="34"/>
      <c r="J410" s="34"/>
      <c r="K410" s="34"/>
      <c r="L410" s="34"/>
      <c r="M410" s="34"/>
      <c r="N410" s="4"/>
    </row>
    <row r="411" spans="1:22" ht="20.100000000000001" customHeight="1" thickBot="1">
      <c r="A411" s="35"/>
      <c r="B411" s="28">
        <v>0</v>
      </c>
      <c r="C411" s="36"/>
      <c r="D411" s="30"/>
      <c r="E411" s="66"/>
      <c r="F411" s="41" t="s">
        <v>370</v>
      </c>
      <c r="G411" s="41" t="s">
        <v>371</v>
      </c>
      <c r="H411" s="41" t="s">
        <v>372</v>
      </c>
      <c r="I411" s="41" t="s">
        <v>373</v>
      </c>
      <c r="J411" s="41" t="s">
        <v>374</v>
      </c>
      <c r="K411" s="41" t="s">
        <v>602</v>
      </c>
      <c r="L411" s="41" t="s">
        <v>603</v>
      </c>
      <c r="M411" s="41" t="s">
        <v>376</v>
      </c>
      <c r="N411" s="13"/>
    </row>
    <row r="412" spans="1:22" ht="20.100000000000001" customHeight="1" thickTop="1">
      <c r="A412" s="159" t="s">
        <v>293</v>
      </c>
      <c r="B412" s="19">
        <v>0</v>
      </c>
      <c r="C412" s="37" t="str">
        <f>$C$7</f>
        <v>Sopa</v>
      </c>
      <c r="D412" s="30"/>
      <c r="E412" s="67" t="s">
        <v>417</v>
      </c>
      <c r="F412" s="42">
        <v>569.1</v>
      </c>
      <c r="G412" s="42">
        <v>136</v>
      </c>
      <c r="H412" s="42">
        <v>3.8</v>
      </c>
      <c r="I412" s="42">
        <v>0.7</v>
      </c>
      <c r="J412" s="42">
        <v>20.399999999999999</v>
      </c>
      <c r="K412" s="42">
        <v>5.9</v>
      </c>
      <c r="L412" s="42">
        <v>4.8</v>
      </c>
      <c r="M412" s="42">
        <v>0.2</v>
      </c>
      <c r="N412" s="17" t="s">
        <v>337</v>
      </c>
    </row>
    <row r="413" spans="1:22" ht="21.75" customHeight="1">
      <c r="A413" s="163"/>
      <c r="B413" s="28">
        <v>0</v>
      </c>
      <c r="C413" s="45" t="s">
        <v>290</v>
      </c>
      <c r="D413" s="30"/>
      <c r="E413" s="67" t="s">
        <v>252</v>
      </c>
      <c r="F413" s="57">
        <f>842.2+1007.1</f>
        <v>1849.3000000000002</v>
      </c>
      <c r="G413" s="57">
        <f>201.3+240.7</f>
        <v>442</v>
      </c>
      <c r="H413" s="57">
        <v>8</v>
      </c>
      <c r="I413" s="57">
        <v>1.3</v>
      </c>
      <c r="J413" s="57">
        <f>0.7+51.8</f>
        <v>52.5</v>
      </c>
      <c r="K413" s="57">
        <f>0.6+3.2</f>
        <v>3.8000000000000003</v>
      </c>
      <c r="L413" s="57">
        <f>31.8+6.8</f>
        <v>38.6</v>
      </c>
      <c r="M413" s="57">
        <v>0.6</v>
      </c>
      <c r="N413" s="17" t="s">
        <v>337</v>
      </c>
    </row>
    <row r="414" spans="1:22" ht="20.100000000000001" customHeight="1">
      <c r="A414" s="163"/>
      <c r="B414" s="19">
        <v>0</v>
      </c>
      <c r="C414" s="45" t="s">
        <v>174</v>
      </c>
      <c r="D414" s="30"/>
      <c r="E414" s="67" t="s">
        <v>461</v>
      </c>
      <c r="F414" s="42">
        <f>28+25.6+40</f>
        <v>93.6</v>
      </c>
      <c r="G414" s="42">
        <f>6.7+6.1+9.6</f>
        <v>22.4</v>
      </c>
      <c r="H414" s="42">
        <v>0.5</v>
      </c>
      <c r="I414" s="42">
        <v>0</v>
      </c>
      <c r="J414" s="42">
        <f>0.8+0.6+1.8</f>
        <v>3.2</v>
      </c>
      <c r="K414" s="42">
        <f>0.8+0.6+1.8</f>
        <v>3.2</v>
      </c>
      <c r="L414" s="42">
        <f>0.6+0.5+0.4</f>
        <v>1.5</v>
      </c>
      <c r="M414" s="42">
        <v>0</v>
      </c>
      <c r="N414" s="16" t="s">
        <v>337</v>
      </c>
    </row>
    <row r="415" spans="1:22" ht="20.100000000000001" customHeight="1">
      <c r="A415" s="163"/>
      <c r="B415" s="28">
        <v>0</v>
      </c>
      <c r="C415" s="38" t="str">
        <f>$C$10</f>
        <v>Sobremesa</v>
      </c>
      <c r="D415" s="30"/>
      <c r="E415" s="67" t="s">
        <v>298</v>
      </c>
      <c r="F415" s="42">
        <v>319.7</v>
      </c>
      <c r="G415" s="58">
        <v>76.400000000000006</v>
      </c>
      <c r="H415" s="58">
        <v>0.5</v>
      </c>
      <c r="I415" s="58">
        <v>0.2</v>
      </c>
      <c r="J415" s="58">
        <v>16.899999999999999</v>
      </c>
      <c r="K415" s="58">
        <v>16.7</v>
      </c>
      <c r="L415" s="58">
        <v>1.1000000000000001</v>
      </c>
      <c r="M415" s="58">
        <v>0</v>
      </c>
      <c r="N415" s="17" t="s">
        <v>337</v>
      </c>
    </row>
    <row r="416" spans="1:22" ht="20.100000000000001" customHeight="1">
      <c r="A416" s="163"/>
      <c r="B416" s="19">
        <v>0</v>
      </c>
      <c r="C416" s="38" t="str">
        <f>$C$11</f>
        <v>Pão</v>
      </c>
      <c r="D416" s="30"/>
      <c r="E416" s="67" t="s">
        <v>297</v>
      </c>
      <c r="F416" s="156" t="s">
        <v>380</v>
      </c>
      <c r="G416" s="157"/>
      <c r="H416" s="157"/>
      <c r="I416" s="157"/>
      <c r="J416" s="157"/>
      <c r="K416" s="157"/>
      <c r="L416" s="157"/>
      <c r="M416" s="158"/>
      <c r="N416" s="16"/>
    </row>
    <row r="417" spans="1:14" ht="20.100000000000001" customHeight="1">
      <c r="A417" s="32"/>
      <c r="B417" s="28">
        <v>0</v>
      </c>
      <c r="C417" s="33"/>
      <c r="D417" s="30"/>
      <c r="F417" s="34"/>
      <c r="G417" s="34"/>
      <c r="H417" s="34"/>
      <c r="I417" s="34"/>
      <c r="J417" s="34"/>
      <c r="K417" s="34"/>
      <c r="L417" s="34"/>
      <c r="M417" s="34"/>
      <c r="N417" s="4"/>
    </row>
    <row r="418" spans="1:14" ht="20.100000000000001" customHeight="1" thickBot="1">
      <c r="A418" s="35"/>
      <c r="B418" s="19">
        <v>0</v>
      </c>
      <c r="C418" s="36"/>
      <c r="D418" s="30"/>
      <c r="E418" s="66"/>
      <c r="F418" s="41" t="s">
        <v>370</v>
      </c>
      <c r="G418" s="41" t="s">
        <v>371</v>
      </c>
      <c r="H418" s="41" t="s">
        <v>372</v>
      </c>
      <c r="I418" s="41" t="s">
        <v>373</v>
      </c>
      <c r="J418" s="41" t="s">
        <v>374</v>
      </c>
      <c r="K418" s="41" t="s">
        <v>602</v>
      </c>
      <c r="L418" s="41" t="s">
        <v>603</v>
      </c>
      <c r="M418" s="41" t="s">
        <v>376</v>
      </c>
      <c r="N418" s="13"/>
    </row>
    <row r="419" spans="1:14" ht="20.100000000000001" customHeight="1" thickTop="1">
      <c r="A419" s="159" t="s">
        <v>294</v>
      </c>
      <c r="B419" s="28">
        <v>0</v>
      </c>
      <c r="C419" s="37" t="str">
        <f>$C$7</f>
        <v>Sopa</v>
      </c>
      <c r="D419" s="30"/>
      <c r="E419" s="67" t="s">
        <v>462</v>
      </c>
      <c r="F419" s="57">
        <v>257.2</v>
      </c>
      <c r="G419" s="42">
        <v>61.5</v>
      </c>
      <c r="H419" s="42">
        <v>3.5</v>
      </c>
      <c r="I419" s="42">
        <v>0.6</v>
      </c>
      <c r="J419" s="42">
        <v>5.8</v>
      </c>
      <c r="K419" s="42">
        <v>4.9000000000000004</v>
      </c>
      <c r="L419" s="42">
        <v>2</v>
      </c>
      <c r="M419" s="42">
        <v>0.2</v>
      </c>
      <c r="N419" s="17" t="s">
        <v>337</v>
      </c>
    </row>
    <row r="420" spans="1:14" ht="33.75" customHeight="1">
      <c r="A420" s="163"/>
      <c r="B420" s="19">
        <v>0</v>
      </c>
      <c r="C420" s="45" t="s">
        <v>290</v>
      </c>
      <c r="D420" s="30"/>
      <c r="E420" s="74" t="s">
        <v>464</v>
      </c>
      <c r="F420" s="57">
        <f>1076.4+970.2</f>
        <v>2046.6000000000001</v>
      </c>
      <c r="G420" s="57">
        <f>257.3+231.9</f>
        <v>489.20000000000005</v>
      </c>
      <c r="H420" s="57">
        <f>3.6+2.9</f>
        <v>6.5</v>
      </c>
      <c r="I420" s="57">
        <f>0.5+0.7</f>
        <v>1.2</v>
      </c>
      <c r="J420" s="57">
        <v>49.8</v>
      </c>
      <c r="K420" s="57">
        <v>0.4</v>
      </c>
      <c r="L420" s="57">
        <f>5.1+51.5</f>
        <v>56.6</v>
      </c>
      <c r="M420" s="57">
        <f>0.1+0.4</f>
        <v>0.5</v>
      </c>
      <c r="N420" s="17" t="s">
        <v>337</v>
      </c>
    </row>
    <row r="421" spans="1:14" ht="20.100000000000001" customHeight="1">
      <c r="A421" s="163"/>
      <c r="B421" s="28">
        <v>0</v>
      </c>
      <c r="C421" s="45" t="s">
        <v>174</v>
      </c>
      <c r="D421" s="30"/>
      <c r="E421" s="67" t="s">
        <v>446</v>
      </c>
      <c r="F421" s="42">
        <f>20+32.4+163.3</f>
        <v>215.70000000000002</v>
      </c>
      <c r="G421" s="42">
        <f>4.8+7.7+39.2</f>
        <v>51.7</v>
      </c>
      <c r="H421" s="42">
        <v>0.6</v>
      </c>
      <c r="I421" s="42">
        <v>0</v>
      </c>
      <c r="J421" s="42">
        <f>0.3+1.8+7.1</f>
        <v>9.1999999999999993</v>
      </c>
      <c r="K421" s="42">
        <f>0.3+1.6</f>
        <v>1.9000000000000001</v>
      </c>
      <c r="L421" s="42">
        <f>0.7+0.2+1.5</f>
        <v>2.4</v>
      </c>
      <c r="M421" s="42">
        <v>0.1</v>
      </c>
      <c r="N421" s="16" t="s">
        <v>337</v>
      </c>
    </row>
    <row r="422" spans="1:14" ht="20.100000000000001" customHeight="1">
      <c r="A422" s="163"/>
      <c r="B422" s="19">
        <v>0</v>
      </c>
      <c r="C422" s="38" t="str">
        <f>$C$10</f>
        <v>Sobremesa</v>
      </c>
      <c r="D422" s="30"/>
      <c r="E422" s="67" t="s">
        <v>298</v>
      </c>
      <c r="F422" s="42">
        <v>319.7</v>
      </c>
      <c r="G422" s="58">
        <v>76.400000000000006</v>
      </c>
      <c r="H422" s="58">
        <v>0.5</v>
      </c>
      <c r="I422" s="58">
        <v>0.2</v>
      </c>
      <c r="J422" s="58">
        <v>16.899999999999999</v>
      </c>
      <c r="K422" s="58">
        <v>16.7</v>
      </c>
      <c r="L422" s="58">
        <v>1.1000000000000001</v>
      </c>
      <c r="M422" s="58">
        <v>0</v>
      </c>
      <c r="N422" s="17" t="s">
        <v>337</v>
      </c>
    </row>
    <row r="423" spans="1:14" ht="20.100000000000001" customHeight="1">
      <c r="A423" s="163"/>
      <c r="B423" s="28">
        <v>0</v>
      </c>
      <c r="C423" s="38" t="str">
        <f>$C$11</f>
        <v>Pão</v>
      </c>
      <c r="D423" s="30"/>
      <c r="E423" s="68" t="s">
        <v>297</v>
      </c>
      <c r="F423" s="156" t="s">
        <v>380</v>
      </c>
      <c r="G423" s="157"/>
      <c r="H423" s="157"/>
      <c r="I423" s="157"/>
      <c r="J423" s="157"/>
      <c r="K423" s="157"/>
      <c r="L423" s="157"/>
      <c r="M423" s="158"/>
      <c r="N423" s="16"/>
    </row>
    <row r="424" spans="1:14" ht="20.100000000000001" customHeight="1">
      <c r="A424" s="32"/>
      <c r="B424" s="19">
        <v>0</v>
      </c>
      <c r="C424" s="33"/>
      <c r="D424" s="30"/>
      <c r="E424" s="69"/>
      <c r="F424" s="34"/>
      <c r="G424" s="34"/>
      <c r="H424" s="34"/>
      <c r="I424" s="34"/>
      <c r="J424" s="34"/>
      <c r="K424" s="34"/>
      <c r="L424" s="34"/>
      <c r="M424" s="34"/>
      <c r="N424" s="4"/>
    </row>
    <row r="425" spans="1:14" ht="20.100000000000001" customHeight="1" thickBot="1">
      <c r="A425" s="35"/>
      <c r="B425" s="28">
        <v>0</v>
      </c>
      <c r="C425" s="36"/>
      <c r="D425" s="30"/>
      <c r="E425" s="66"/>
      <c r="F425" s="41" t="s">
        <v>370</v>
      </c>
      <c r="G425" s="41" t="s">
        <v>371</v>
      </c>
      <c r="H425" s="41" t="s">
        <v>372</v>
      </c>
      <c r="I425" s="41" t="s">
        <v>373</v>
      </c>
      <c r="J425" s="41" t="s">
        <v>374</v>
      </c>
      <c r="K425" s="41" t="s">
        <v>602</v>
      </c>
      <c r="L425" s="41" t="s">
        <v>603</v>
      </c>
      <c r="M425" s="41" t="s">
        <v>376</v>
      </c>
      <c r="N425" s="13"/>
    </row>
    <row r="426" spans="1:14" ht="20.100000000000001" customHeight="1" thickTop="1">
      <c r="A426" s="159" t="s">
        <v>295</v>
      </c>
      <c r="B426" s="19">
        <v>0</v>
      </c>
      <c r="C426" s="37" t="str">
        <f>$C$7</f>
        <v>Sopa</v>
      </c>
      <c r="D426" s="30"/>
      <c r="E426" s="67" t="s">
        <v>220</v>
      </c>
      <c r="F426" s="57">
        <v>989.3</v>
      </c>
      <c r="G426" s="57">
        <v>236.4</v>
      </c>
      <c r="H426" s="57">
        <v>5.2</v>
      </c>
      <c r="I426" s="57">
        <v>0.7</v>
      </c>
      <c r="J426" s="57">
        <v>36.4</v>
      </c>
      <c r="K426" s="57">
        <v>5.4</v>
      </c>
      <c r="L426" s="57">
        <v>10.4</v>
      </c>
      <c r="M426" s="57">
        <v>0.1</v>
      </c>
      <c r="N426" s="17" t="s">
        <v>337</v>
      </c>
    </row>
    <row r="427" spans="1:14" ht="45" customHeight="1">
      <c r="A427" s="163"/>
      <c r="B427" s="28">
        <v>0</v>
      </c>
      <c r="C427" s="45" t="s">
        <v>290</v>
      </c>
      <c r="D427" s="30"/>
      <c r="E427" s="74" t="s">
        <v>221</v>
      </c>
      <c r="F427" s="42">
        <f>718.1+787.2</f>
        <v>1505.3000000000002</v>
      </c>
      <c r="G427" s="42">
        <f>188.1+171.6</f>
        <v>359.7</v>
      </c>
      <c r="H427" s="42">
        <f>5.4+0.1</f>
        <v>5.5</v>
      </c>
      <c r="I427" s="42">
        <v>0.8</v>
      </c>
      <c r="J427" s="42">
        <f>0.7+39.9</f>
        <v>40.6</v>
      </c>
      <c r="K427" s="42">
        <f>0.6+3.2</f>
        <v>3.8000000000000003</v>
      </c>
      <c r="L427" s="42">
        <f>30.1+5.8</f>
        <v>35.9</v>
      </c>
      <c r="M427" s="42">
        <f>0.5+0.2</f>
        <v>0.7</v>
      </c>
      <c r="N427" s="17" t="s">
        <v>337</v>
      </c>
    </row>
    <row r="428" spans="1:14" ht="20.100000000000001" customHeight="1">
      <c r="A428" s="163"/>
      <c r="B428" s="19">
        <v>0</v>
      </c>
      <c r="C428" s="45" t="s">
        <v>174</v>
      </c>
      <c r="D428" s="30"/>
      <c r="E428" s="74" t="s">
        <v>454</v>
      </c>
      <c r="F428" s="42">
        <f>20+28.5+40</f>
        <v>88.5</v>
      </c>
      <c r="G428" s="42">
        <f>4.8+6.8+9.6</f>
        <v>21.2</v>
      </c>
      <c r="H428" s="42">
        <v>0.3</v>
      </c>
      <c r="I428" s="42">
        <v>0</v>
      </c>
      <c r="J428" s="42">
        <f>0.3+1.2+1.8</f>
        <v>3.3</v>
      </c>
      <c r="K428" s="42">
        <f>0.3+1+1.8</f>
        <v>3.1</v>
      </c>
      <c r="L428" s="42">
        <f>0.7+0.6+0.4</f>
        <v>1.6999999999999997</v>
      </c>
      <c r="M428" s="42">
        <v>0</v>
      </c>
      <c r="N428" s="16" t="s">
        <v>337</v>
      </c>
    </row>
    <row r="429" spans="1:14" ht="20.100000000000001" customHeight="1">
      <c r="A429" s="163"/>
      <c r="B429" s="28">
        <v>0</v>
      </c>
      <c r="C429" s="38" t="str">
        <f>$C$10</f>
        <v>Sobremesa</v>
      </c>
      <c r="D429" s="30"/>
      <c r="E429" s="74" t="s">
        <v>465</v>
      </c>
      <c r="F429" s="42" t="s">
        <v>621</v>
      </c>
      <c r="G429" s="58" t="s">
        <v>622</v>
      </c>
      <c r="H429" s="58" t="s">
        <v>623</v>
      </c>
      <c r="I429" s="58" t="s">
        <v>624</v>
      </c>
      <c r="J429" s="58" t="s">
        <v>625</v>
      </c>
      <c r="K429" s="58" t="s">
        <v>626</v>
      </c>
      <c r="L429" s="58" t="s">
        <v>627</v>
      </c>
      <c r="M429" s="58" t="s">
        <v>628</v>
      </c>
      <c r="N429" s="17" t="s">
        <v>337</v>
      </c>
    </row>
    <row r="430" spans="1:14" ht="20.100000000000001" customHeight="1">
      <c r="A430" s="163"/>
      <c r="B430" s="19">
        <v>0</v>
      </c>
      <c r="C430" s="38" t="str">
        <f>$C$11</f>
        <v>Pão</v>
      </c>
      <c r="D430" s="30"/>
      <c r="E430" s="68" t="s">
        <v>297</v>
      </c>
      <c r="F430" s="156" t="s">
        <v>380</v>
      </c>
      <c r="G430" s="157"/>
      <c r="H430" s="157"/>
      <c r="I430" s="157"/>
      <c r="J430" s="157"/>
      <c r="K430" s="157"/>
      <c r="L430" s="157"/>
      <c r="M430" s="158"/>
      <c r="N430" s="16"/>
    </row>
    <row r="431" spans="1:14" ht="20.100000000000001" customHeight="1">
      <c r="A431" s="32"/>
      <c r="B431" s="28">
        <v>0</v>
      </c>
      <c r="C431" s="33"/>
      <c r="D431" s="30"/>
      <c r="E431" s="69"/>
      <c r="F431" s="34"/>
      <c r="G431" s="34"/>
      <c r="H431" s="34"/>
      <c r="I431" s="34"/>
      <c r="J431" s="34"/>
      <c r="K431" s="34"/>
      <c r="L431" s="34"/>
      <c r="M431" s="34"/>
      <c r="N431" s="4"/>
    </row>
    <row r="432" spans="1:14" ht="20.100000000000001" customHeight="1" thickBot="1">
      <c r="A432" s="35"/>
      <c r="B432" s="19">
        <v>0</v>
      </c>
      <c r="C432" s="36"/>
      <c r="D432" s="30"/>
      <c r="E432" s="66"/>
      <c r="F432" s="41" t="s">
        <v>370</v>
      </c>
      <c r="G432" s="41" t="s">
        <v>371</v>
      </c>
      <c r="H432" s="41" t="s">
        <v>372</v>
      </c>
      <c r="I432" s="41" t="s">
        <v>373</v>
      </c>
      <c r="J432" s="41" t="s">
        <v>374</v>
      </c>
      <c r="K432" s="41" t="s">
        <v>602</v>
      </c>
      <c r="L432" s="41" t="s">
        <v>603</v>
      </c>
      <c r="M432" s="41" t="s">
        <v>376</v>
      </c>
      <c r="N432" s="13"/>
    </row>
    <row r="433" spans="1:14" ht="20.100000000000001" customHeight="1" thickTop="1">
      <c r="A433" s="159" t="s">
        <v>296</v>
      </c>
      <c r="B433" s="28">
        <v>0</v>
      </c>
      <c r="C433" s="37" t="str">
        <f>$C$7</f>
        <v>Sopa</v>
      </c>
      <c r="D433" s="30"/>
      <c r="E433" s="67" t="s">
        <v>357</v>
      </c>
      <c r="F433" s="42">
        <v>867.6</v>
      </c>
      <c r="G433" s="42">
        <v>207.4</v>
      </c>
      <c r="H433" s="42">
        <v>3.7</v>
      </c>
      <c r="I433" s="42">
        <v>0.6</v>
      </c>
      <c r="J433" s="42">
        <v>31.3</v>
      </c>
      <c r="K433" s="42">
        <v>4.2</v>
      </c>
      <c r="L433" s="42">
        <v>11.5</v>
      </c>
      <c r="M433" s="42">
        <v>0.2</v>
      </c>
      <c r="N433" s="17" t="s">
        <v>337</v>
      </c>
    </row>
    <row r="434" spans="1:14" ht="42.75" customHeight="1">
      <c r="A434" s="163"/>
      <c r="B434" s="19">
        <v>0</v>
      </c>
      <c r="C434" s="45" t="s">
        <v>290</v>
      </c>
      <c r="D434" s="30"/>
      <c r="E434" s="67" t="s">
        <v>222</v>
      </c>
      <c r="F434" s="57">
        <v>2159.6999999999998</v>
      </c>
      <c r="G434" s="57">
        <v>516.1</v>
      </c>
      <c r="H434" s="57">
        <v>9.6999999999999993</v>
      </c>
      <c r="I434" s="57">
        <v>2.9</v>
      </c>
      <c r="J434" s="57">
        <v>65</v>
      </c>
      <c r="K434" s="57">
        <v>2.2999999999999998</v>
      </c>
      <c r="L434" s="57">
        <v>40.299999999999997</v>
      </c>
      <c r="M434" s="57">
        <v>0.4</v>
      </c>
      <c r="N434" s="17" t="s">
        <v>337</v>
      </c>
    </row>
    <row r="435" spans="1:14" ht="20.100000000000001" customHeight="1">
      <c r="A435" s="163"/>
      <c r="B435" s="28">
        <v>0</v>
      </c>
      <c r="C435" s="45" t="s">
        <v>174</v>
      </c>
      <c r="D435" s="30"/>
      <c r="E435" s="67" t="s">
        <v>455</v>
      </c>
      <c r="F435" s="42">
        <f>30+22.4+40</f>
        <v>92.4</v>
      </c>
      <c r="G435" s="42">
        <f>7.2+7.7+9.6</f>
        <v>24.5</v>
      </c>
      <c r="H435" s="42">
        <v>0.2</v>
      </c>
      <c r="I435" s="42">
        <v>0</v>
      </c>
      <c r="J435" s="42">
        <f>1.4+1.8+1.8</f>
        <v>5</v>
      </c>
      <c r="K435" s="42">
        <f>1.4+1.6+1.8</f>
        <v>4.8</v>
      </c>
      <c r="L435" s="42">
        <f>0.4+0.2+0.4</f>
        <v>1</v>
      </c>
      <c r="M435" s="42">
        <v>0.2</v>
      </c>
      <c r="N435" s="16" t="s">
        <v>337</v>
      </c>
    </row>
    <row r="436" spans="1:14" ht="34.5" customHeight="1">
      <c r="A436" s="163"/>
      <c r="B436" s="19">
        <v>0</v>
      </c>
      <c r="C436" s="38" t="str">
        <f>$C$10</f>
        <v>Sobremesa</v>
      </c>
      <c r="D436" s="30"/>
      <c r="E436" s="67" t="s">
        <v>173</v>
      </c>
      <c r="F436" s="42" t="s">
        <v>642</v>
      </c>
      <c r="G436" s="58" t="s">
        <v>643</v>
      </c>
      <c r="H436" s="58" t="s">
        <v>644</v>
      </c>
      <c r="I436" s="58" t="s">
        <v>645</v>
      </c>
      <c r="J436" s="58" t="s">
        <v>646</v>
      </c>
      <c r="K436" s="58" t="s">
        <v>647</v>
      </c>
      <c r="L436" s="58" t="s">
        <v>648</v>
      </c>
      <c r="M436" s="58" t="s">
        <v>649</v>
      </c>
      <c r="N436" s="17" t="s">
        <v>337</v>
      </c>
    </row>
    <row r="437" spans="1:14" ht="20.100000000000001" customHeight="1">
      <c r="A437" s="163"/>
      <c r="B437" s="28">
        <v>0</v>
      </c>
      <c r="C437" s="38" t="str">
        <f>$C$11</f>
        <v>Pão</v>
      </c>
      <c r="D437" s="30"/>
      <c r="E437" s="67" t="s">
        <v>297</v>
      </c>
      <c r="F437" s="156" t="s">
        <v>377</v>
      </c>
      <c r="G437" s="157"/>
      <c r="H437" s="157"/>
      <c r="I437" s="157"/>
      <c r="J437" s="157"/>
      <c r="K437" s="157"/>
      <c r="L437" s="157"/>
      <c r="M437" s="158"/>
      <c r="N437" s="16"/>
    </row>
    <row r="438" spans="1:14" ht="123" customHeight="1">
      <c r="A438" s="167" t="str">
        <f>+A$40</f>
        <v xml:space="preserve">
A sua refeição contém ou pode conter as seguintes substâncias ou produtos e seus derivados: 1Cereais que contêm glúten, 2Crustáceos , 3Ovos, 4Peixes, 5Amendoins, 6Soja, 7Leite, 8Frutos de casca rija, 9Aipo, 10Mostarda, 11Sementes de sésamo, 12Dióxido de enxofre e sulfitos, 13Tremoço, 14Moluscos. 
Para quem não é alérgico ou intolerante, estas substâncias ou produtos são completamente inofensivas. 
Caso necessite informação adicional sobre os produtos em causa deve solicitar aos funcionários.
Declaração nutricional: valores médios de 100 g ou 100 ml, calculados a partir dos valores médios conhecidos dos ingredientes utilizados, segundo o Instituto Nacional de Saúde Dr. Ricardo Jorge, Tabela da Composição de Alimentos (2007), e a informação disponibilizada pelos fornecedores.
Legenda: VE - Valor energético, Líp. - Lípidos, AG Sat. - Ácidos Gordos Saturados, HC - Hidratos de Carbono, Prot. - Proteínas.
</v>
      </c>
      <c r="B438" s="168"/>
      <c r="C438" s="168"/>
      <c r="D438" s="168"/>
      <c r="E438" s="168"/>
      <c r="F438" s="168"/>
      <c r="G438" s="168"/>
      <c r="H438" s="168"/>
      <c r="I438" s="168"/>
      <c r="J438" s="168"/>
      <c r="K438" s="168"/>
      <c r="L438" s="168"/>
      <c r="M438" s="168"/>
      <c r="N438" s="5"/>
    </row>
    <row r="439" spans="1:14" ht="39.950000000000003" customHeight="1">
      <c r="B439" s="28">
        <v>0</v>
      </c>
      <c r="C439" s="61" t="s">
        <v>394</v>
      </c>
      <c r="D439" s="26"/>
      <c r="E439" s="70" t="s">
        <v>189</v>
      </c>
      <c r="F439" s="39"/>
      <c r="G439" s="39"/>
      <c r="H439" s="39"/>
      <c r="I439" s="39"/>
      <c r="J439" s="39"/>
      <c r="K439" s="39"/>
      <c r="L439" s="39"/>
      <c r="M439" s="39"/>
      <c r="N439" s="1"/>
    </row>
    <row r="440" spans="1:14" ht="20.100000000000001" customHeight="1" thickBot="1">
      <c r="B440" s="19">
        <v>0</v>
      </c>
      <c r="E440" s="66"/>
      <c r="F440" s="41" t="s">
        <v>370</v>
      </c>
      <c r="G440" s="41" t="s">
        <v>371</v>
      </c>
      <c r="H440" s="41" t="s">
        <v>372</v>
      </c>
      <c r="I440" s="41" t="s">
        <v>373</v>
      </c>
      <c r="J440" s="41" t="s">
        <v>374</v>
      </c>
      <c r="K440" s="41" t="s">
        <v>602</v>
      </c>
      <c r="L440" s="41" t="s">
        <v>603</v>
      </c>
      <c r="M440" s="41" t="s">
        <v>376</v>
      </c>
      <c r="N440" s="3"/>
    </row>
    <row r="441" spans="1:14" ht="20.100000000000001" customHeight="1" thickTop="1">
      <c r="A441" s="159" t="s">
        <v>288</v>
      </c>
      <c r="B441" s="28">
        <v>0</v>
      </c>
      <c r="C441" s="29" t="s">
        <v>289</v>
      </c>
      <c r="D441" s="30"/>
      <c r="E441" s="67" t="s">
        <v>327</v>
      </c>
      <c r="F441" s="42">
        <v>447.2</v>
      </c>
      <c r="G441" s="42">
        <v>106.9</v>
      </c>
      <c r="H441" s="42">
        <v>3.2</v>
      </c>
      <c r="I441" s="42">
        <v>0.5</v>
      </c>
      <c r="J441" s="42">
        <v>16.100000000000001</v>
      </c>
      <c r="K441" s="42">
        <v>4.8</v>
      </c>
      <c r="L441" s="42">
        <v>3.1</v>
      </c>
      <c r="M441" s="42">
        <v>0.2</v>
      </c>
      <c r="N441" s="17" t="s">
        <v>337</v>
      </c>
    </row>
    <row r="442" spans="1:14" ht="18" customHeight="1">
      <c r="A442" s="163"/>
      <c r="B442" s="19">
        <v>0</v>
      </c>
      <c r="C442" s="45" t="s">
        <v>290</v>
      </c>
      <c r="D442" s="30"/>
      <c r="E442" s="67" t="s">
        <v>469</v>
      </c>
      <c r="F442" s="57">
        <v>2881.3</v>
      </c>
      <c r="G442" s="57">
        <v>688.6</v>
      </c>
      <c r="H442" s="57">
        <v>24.5</v>
      </c>
      <c r="I442" s="57">
        <v>2.2000000000000002</v>
      </c>
      <c r="J442" s="57">
        <v>64.5</v>
      </c>
      <c r="K442" s="57">
        <v>7</v>
      </c>
      <c r="L442" s="57">
        <v>51.1</v>
      </c>
      <c r="M442" s="57">
        <v>1.8</v>
      </c>
      <c r="N442" s="17" t="s">
        <v>337</v>
      </c>
    </row>
    <row r="443" spans="1:14" ht="20.100000000000001" customHeight="1">
      <c r="A443" s="163"/>
      <c r="B443" s="28">
        <v>0</v>
      </c>
      <c r="C443" s="45" t="s">
        <v>174</v>
      </c>
      <c r="D443" s="30"/>
      <c r="E443" s="67" t="s">
        <v>223</v>
      </c>
      <c r="F443" s="42">
        <f>163.3+23+40</f>
        <v>226.3</v>
      </c>
      <c r="G443" s="42">
        <f>39.2+5.5+9.6</f>
        <v>54.300000000000004</v>
      </c>
      <c r="H443" s="42">
        <f>0.5+0.2+0.2</f>
        <v>0.89999999999999991</v>
      </c>
      <c r="I443" s="42">
        <v>0</v>
      </c>
      <c r="J443" s="42">
        <f>7.1+0.7+1.8</f>
        <v>9.6</v>
      </c>
      <c r="K443" s="42">
        <f>0.6+1.8</f>
        <v>2.4</v>
      </c>
      <c r="L443" s="42">
        <f>1.5+0.4+0.4</f>
        <v>2.2999999999999998</v>
      </c>
      <c r="M443" s="42">
        <v>0</v>
      </c>
      <c r="N443" s="16" t="s">
        <v>337</v>
      </c>
    </row>
    <row r="444" spans="1:14" ht="20.100000000000001" customHeight="1">
      <c r="A444" s="163"/>
      <c r="B444" s="19">
        <v>0</v>
      </c>
      <c r="C444" s="31" t="s">
        <v>291</v>
      </c>
      <c r="D444" s="30"/>
      <c r="E444" s="67" t="s">
        <v>471</v>
      </c>
      <c r="F444" s="42" t="s">
        <v>621</v>
      </c>
      <c r="G444" s="58" t="s">
        <v>622</v>
      </c>
      <c r="H444" s="58" t="s">
        <v>623</v>
      </c>
      <c r="I444" s="58" t="s">
        <v>624</v>
      </c>
      <c r="J444" s="58" t="s">
        <v>625</v>
      </c>
      <c r="K444" s="58" t="s">
        <v>626</v>
      </c>
      <c r="L444" s="58" t="s">
        <v>627</v>
      </c>
      <c r="M444" s="58" t="s">
        <v>628</v>
      </c>
      <c r="N444" s="17" t="s">
        <v>337</v>
      </c>
    </row>
    <row r="445" spans="1:14" ht="20.100000000000001" customHeight="1">
      <c r="A445" s="163"/>
      <c r="B445" s="28">
        <v>0</v>
      </c>
      <c r="C445" s="31" t="s">
        <v>292</v>
      </c>
      <c r="D445" s="30"/>
      <c r="E445" s="67" t="s">
        <v>297</v>
      </c>
      <c r="F445" s="156" t="s">
        <v>377</v>
      </c>
      <c r="G445" s="157"/>
      <c r="H445" s="157"/>
      <c r="I445" s="157"/>
      <c r="J445" s="157"/>
      <c r="K445" s="157"/>
      <c r="L445" s="157"/>
      <c r="M445" s="158"/>
      <c r="N445" s="16"/>
    </row>
    <row r="446" spans="1:14" ht="20.100000000000001" customHeight="1">
      <c r="A446" s="32"/>
      <c r="B446" s="19">
        <v>0</v>
      </c>
      <c r="C446" s="33"/>
      <c r="D446" s="30"/>
      <c r="E446" s="69"/>
      <c r="F446" s="34"/>
      <c r="G446" s="34"/>
      <c r="H446" s="34"/>
      <c r="I446" s="34"/>
      <c r="J446" s="34"/>
      <c r="K446" s="34"/>
      <c r="L446" s="34"/>
      <c r="M446" s="34"/>
      <c r="N446" s="4"/>
    </row>
    <row r="447" spans="1:14" ht="20.100000000000001" customHeight="1" thickBot="1">
      <c r="A447" s="35"/>
      <c r="B447" s="28">
        <v>0</v>
      </c>
      <c r="C447" s="36"/>
      <c r="D447" s="30"/>
      <c r="E447" s="66"/>
      <c r="F447" s="41" t="s">
        <v>370</v>
      </c>
      <c r="G447" s="41" t="s">
        <v>371</v>
      </c>
      <c r="H447" s="41" t="s">
        <v>372</v>
      </c>
      <c r="I447" s="41" t="s">
        <v>373</v>
      </c>
      <c r="J447" s="41" t="s">
        <v>374</v>
      </c>
      <c r="K447" s="41" t="s">
        <v>602</v>
      </c>
      <c r="L447" s="41" t="s">
        <v>603</v>
      </c>
      <c r="M447" s="41" t="s">
        <v>376</v>
      </c>
      <c r="N447" s="13"/>
    </row>
    <row r="448" spans="1:14" ht="20.100000000000001" customHeight="1" thickTop="1">
      <c r="A448" s="159" t="s">
        <v>293</v>
      </c>
      <c r="B448" s="19">
        <v>0</v>
      </c>
      <c r="C448" s="37" t="str">
        <f>$C$7</f>
        <v>Sopa</v>
      </c>
      <c r="D448" s="30"/>
      <c r="E448" s="67" t="s">
        <v>306</v>
      </c>
      <c r="F448" s="42">
        <v>514.1</v>
      </c>
      <c r="G448" s="42">
        <v>122.9</v>
      </c>
      <c r="H448" s="42">
        <v>3.4</v>
      </c>
      <c r="I448" s="42">
        <v>0.5</v>
      </c>
      <c r="J448" s="42">
        <v>18.2</v>
      </c>
      <c r="K448" s="42">
        <v>4.7</v>
      </c>
      <c r="L448" s="42">
        <v>4.5999999999999996</v>
      </c>
      <c r="M448" s="42">
        <v>0.2</v>
      </c>
      <c r="N448" s="17" t="s">
        <v>337</v>
      </c>
    </row>
    <row r="449" spans="1:14" ht="42" customHeight="1">
      <c r="A449" s="163"/>
      <c r="B449" s="28">
        <v>0</v>
      </c>
      <c r="C449" s="45" t="s">
        <v>290</v>
      </c>
      <c r="D449" s="30"/>
      <c r="E449" s="67" t="s">
        <v>468</v>
      </c>
      <c r="F449" s="57">
        <f>1008.8+1029.5</f>
        <v>2038.3</v>
      </c>
      <c r="G449" s="57">
        <f>241.1+246</f>
        <v>487.1</v>
      </c>
      <c r="H449" s="57">
        <f>4.4+3.3</f>
        <v>7.7</v>
      </c>
      <c r="I449" s="57">
        <v>1.6</v>
      </c>
      <c r="J449" s="57">
        <v>48.5</v>
      </c>
      <c r="K449" s="57">
        <v>1.5</v>
      </c>
      <c r="L449" s="57">
        <f>50.4+4.3</f>
        <v>54.699999999999996</v>
      </c>
      <c r="M449" s="57">
        <v>0.7</v>
      </c>
      <c r="N449" s="17" t="s">
        <v>337</v>
      </c>
    </row>
    <row r="450" spans="1:14" ht="20.100000000000001" customHeight="1">
      <c r="A450" s="163"/>
      <c r="B450" s="19">
        <v>0</v>
      </c>
      <c r="C450" s="45" t="s">
        <v>174</v>
      </c>
      <c r="D450" s="30"/>
      <c r="E450" s="67" t="s">
        <v>300</v>
      </c>
      <c r="F450" s="42">
        <f>20+28.5+163.3</f>
        <v>211.8</v>
      </c>
      <c r="G450" s="42">
        <f>4.8+6.8+39.2</f>
        <v>50.800000000000004</v>
      </c>
      <c r="H450" s="42">
        <v>0.6</v>
      </c>
      <c r="I450" s="42">
        <v>0</v>
      </c>
      <c r="J450" s="42">
        <f>0.3+1.2+7.1</f>
        <v>8.6</v>
      </c>
      <c r="K450" s="42">
        <f>0.3+1</f>
        <v>1.3</v>
      </c>
      <c r="L450" s="42">
        <f>0.7+0.6+1.5</f>
        <v>2.8</v>
      </c>
      <c r="M450" s="42">
        <v>0</v>
      </c>
      <c r="N450" s="16" t="s">
        <v>337</v>
      </c>
    </row>
    <row r="451" spans="1:14" ht="20.100000000000001" customHeight="1">
      <c r="A451" s="163"/>
      <c r="B451" s="28">
        <v>0</v>
      </c>
      <c r="C451" s="38" t="str">
        <f>$C$10</f>
        <v>Sobremesa</v>
      </c>
      <c r="D451" s="30"/>
      <c r="E451" s="67" t="s">
        <v>298</v>
      </c>
      <c r="F451" s="42">
        <v>319.7</v>
      </c>
      <c r="G451" s="58">
        <v>76.400000000000006</v>
      </c>
      <c r="H451" s="58">
        <v>0.5</v>
      </c>
      <c r="I451" s="58">
        <v>0.2</v>
      </c>
      <c r="J451" s="58">
        <v>16.899999999999999</v>
      </c>
      <c r="K451" s="58">
        <v>16.7</v>
      </c>
      <c r="L451" s="58">
        <v>1.1000000000000001</v>
      </c>
      <c r="M451" s="58">
        <v>0</v>
      </c>
      <c r="N451" s="17" t="s">
        <v>337</v>
      </c>
    </row>
    <row r="452" spans="1:14" ht="20.100000000000001" customHeight="1">
      <c r="A452" s="163"/>
      <c r="B452" s="19">
        <v>0</v>
      </c>
      <c r="C452" s="38" t="str">
        <f>$C$11</f>
        <v>Pão</v>
      </c>
      <c r="D452" s="30"/>
      <c r="E452" s="67" t="s">
        <v>297</v>
      </c>
      <c r="F452" s="156" t="s">
        <v>377</v>
      </c>
      <c r="G452" s="157"/>
      <c r="H452" s="157"/>
      <c r="I452" s="157"/>
      <c r="J452" s="157"/>
      <c r="K452" s="157"/>
      <c r="L452" s="157"/>
      <c r="M452" s="158"/>
      <c r="N452" s="16"/>
    </row>
    <row r="453" spans="1:14" ht="20.100000000000001" customHeight="1">
      <c r="A453" s="32"/>
      <c r="B453" s="28">
        <v>0</v>
      </c>
      <c r="C453" s="33"/>
      <c r="D453" s="30"/>
      <c r="F453" s="34"/>
      <c r="G453" s="34"/>
      <c r="H453" s="34"/>
      <c r="I453" s="34"/>
      <c r="J453" s="34"/>
      <c r="K453" s="34"/>
      <c r="L453" s="34"/>
      <c r="M453" s="34"/>
      <c r="N453" s="4"/>
    </row>
    <row r="454" spans="1:14" ht="20.100000000000001" customHeight="1" thickBot="1">
      <c r="A454" s="35"/>
      <c r="B454" s="19">
        <v>0</v>
      </c>
      <c r="C454" s="36"/>
      <c r="D454" s="30"/>
      <c r="E454" s="66"/>
      <c r="F454" s="41" t="s">
        <v>370</v>
      </c>
      <c r="G454" s="41" t="s">
        <v>371</v>
      </c>
      <c r="H454" s="41" t="s">
        <v>372</v>
      </c>
      <c r="I454" s="41" t="s">
        <v>373</v>
      </c>
      <c r="J454" s="41" t="s">
        <v>374</v>
      </c>
      <c r="K454" s="41" t="s">
        <v>602</v>
      </c>
      <c r="L454" s="41" t="s">
        <v>603</v>
      </c>
      <c r="M454" s="41" t="s">
        <v>376</v>
      </c>
      <c r="N454" s="13"/>
    </row>
    <row r="455" spans="1:14" ht="20.100000000000001" customHeight="1" thickTop="1">
      <c r="A455" s="159" t="s">
        <v>294</v>
      </c>
      <c r="B455" s="28">
        <v>0</v>
      </c>
      <c r="C455" s="37" t="str">
        <f>$C$7</f>
        <v>Sopa</v>
      </c>
      <c r="D455" s="30"/>
      <c r="E455" s="67" t="s">
        <v>467</v>
      </c>
      <c r="F455" s="42">
        <v>886.6</v>
      </c>
      <c r="G455" s="42">
        <v>212.1</v>
      </c>
      <c r="H455" s="42">
        <v>3.7</v>
      </c>
      <c r="I455" s="42">
        <v>0.6</v>
      </c>
      <c r="J455" s="42">
        <v>32.700000000000003</v>
      </c>
      <c r="K455" s="42">
        <v>5</v>
      </c>
      <c r="L455" s="42">
        <v>11.4</v>
      </c>
      <c r="M455" s="42">
        <v>0.2</v>
      </c>
      <c r="N455" s="17" t="s">
        <v>337</v>
      </c>
    </row>
    <row r="456" spans="1:14" ht="18.75" customHeight="1">
      <c r="A456" s="163"/>
      <c r="B456" s="19">
        <v>0</v>
      </c>
      <c r="C456" s="45" t="s">
        <v>290</v>
      </c>
      <c r="D456" s="30"/>
      <c r="E456" s="74" t="s">
        <v>179</v>
      </c>
      <c r="F456" s="57">
        <f>742.5+1007.1</f>
        <v>1749.6</v>
      </c>
      <c r="G456" s="57">
        <f>177.5+240.7</f>
        <v>418.2</v>
      </c>
      <c r="H456" s="57">
        <v>5.4</v>
      </c>
      <c r="I456" s="57">
        <v>0.8</v>
      </c>
      <c r="J456" s="57">
        <f>2.1+51.8</f>
        <v>53.9</v>
      </c>
      <c r="K456" s="57">
        <f>3.2+1.9</f>
        <v>5.0999999999999996</v>
      </c>
      <c r="L456" s="57">
        <f>30.3+6.8</f>
        <v>37.1</v>
      </c>
      <c r="M456" s="57">
        <v>0.8</v>
      </c>
      <c r="N456" s="17" t="s">
        <v>337</v>
      </c>
    </row>
    <row r="457" spans="1:14" ht="20.100000000000001" customHeight="1">
      <c r="A457" s="163"/>
      <c r="B457" s="28">
        <v>0</v>
      </c>
      <c r="C457" s="45" t="s">
        <v>174</v>
      </c>
      <c r="D457" s="30"/>
      <c r="E457" s="67" t="s">
        <v>175</v>
      </c>
      <c r="F457" s="42">
        <f>64.8+25.6+40</f>
        <v>130.4</v>
      </c>
      <c r="G457" s="42">
        <f>15.5+6.1+9.6</f>
        <v>31.200000000000003</v>
      </c>
      <c r="H457" s="42">
        <v>0.6</v>
      </c>
      <c r="I457" s="42">
        <v>0.1</v>
      </c>
      <c r="J457" s="42">
        <f>1.7+0.6+1.8</f>
        <v>4.0999999999999996</v>
      </c>
      <c r="K457" s="42">
        <f>1.6+0.6+1.8</f>
        <v>4</v>
      </c>
      <c r="L457" s="42">
        <f>1.9+0.5+0.4</f>
        <v>2.8</v>
      </c>
      <c r="M457" s="42">
        <v>0</v>
      </c>
      <c r="N457" s="16" t="s">
        <v>337</v>
      </c>
    </row>
    <row r="458" spans="1:14" ht="20.100000000000001" customHeight="1">
      <c r="A458" s="163"/>
      <c r="B458" s="19">
        <v>0</v>
      </c>
      <c r="C458" s="38" t="str">
        <f>$C$10</f>
        <v>Sobremesa</v>
      </c>
      <c r="D458" s="30"/>
      <c r="E458" s="67" t="s">
        <v>310</v>
      </c>
      <c r="F458" s="42">
        <v>319.7</v>
      </c>
      <c r="G458" s="58">
        <v>76.400000000000006</v>
      </c>
      <c r="H458" s="58">
        <v>0.5</v>
      </c>
      <c r="I458" s="58">
        <v>0.2</v>
      </c>
      <c r="J458" s="58">
        <v>16.899999999999999</v>
      </c>
      <c r="K458" s="58">
        <v>16.7</v>
      </c>
      <c r="L458" s="58">
        <v>1.1000000000000001</v>
      </c>
      <c r="M458" s="58">
        <v>0</v>
      </c>
      <c r="N458" s="17" t="s">
        <v>337</v>
      </c>
    </row>
    <row r="459" spans="1:14" ht="20.100000000000001" customHeight="1">
      <c r="A459" s="163"/>
      <c r="B459" s="28">
        <v>0</v>
      </c>
      <c r="C459" s="38" t="str">
        <f>$C$11</f>
        <v>Pão</v>
      </c>
      <c r="D459" s="30"/>
      <c r="E459" s="68" t="s">
        <v>297</v>
      </c>
      <c r="F459" s="156" t="s">
        <v>377</v>
      </c>
      <c r="G459" s="157"/>
      <c r="H459" s="157"/>
      <c r="I459" s="157"/>
      <c r="J459" s="157"/>
      <c r="K459" s="157"/>
      <c r="L459" s="157"/>
      <c r="M459" s="158"/>
      <c r="N459" s="16"/>
    </row>
    <row r="460" spans="1:14" ht="20.100000000000001" customHeight="1">
      <c r="A460" s="32"/>
      <c r="B460" s="19">
        <v>0</v>
      </c>
      <c r="C460" s="33"/>
      <c r="D460" s="30"/>
      <c r="E460" s="69"/>
      <c r="F460" s="34"/>
      <c r="G460" s="34"/>
      <c r="H460" s="34"/>
      <c r="I460" s="34"/>
      <c r="J460" s="34"/>
      <c r="K460" s="34"/>
      <c r="L460" s="34"/>
      <c r="M460" s="34"/>
      <c r="N460" s="4"/>
    </row>
    <row r="461" spans="1:14" ht="20.100000000000001" customHeight="1" thickBot="1">
      <c r="A461" s="35"/>
      <c r="B461" s="28">
        <v>0</v>
      </c>
      <c r="C461" s="36"/>
      <c r="D461" s="30"/>
      <c r="E461" s="66"/>
      <c r="F461" s="41" t="s">
        <v>370</v>
      </c>
      <c r="G461" s="41" t="s">
        <v>371</v>
      </c>
      <c r="H461" s="41" t="s">
        <v>372</v>
      </c>
      <c r="I461" s="41" t="s">
        <v>373</v>
      </c>
      <c r="J461" s="41" t="s">
        <v>374</v>
      </c>
      <c r="K461" s="41" t="s">
        <v>602</v>
      </c>
      <c r="L461" s="41" t="s">
        <v>603</v>
      </c>
      <c r="M461" s="41" t="s">
        <v>376</v>
      </c>
      <c r="N461" s="13"/>
    </row>
    <row r="462" spans="1:14" ht="20.100000000000001" customHeight="1" thickTop="1">
      <c r="A462" s="159" t="s">
        <v>295</v>
      </c>
      <c r="B462" s="19">
        <v>0</v>
      </c>
      <c r="C462" s="37" t="str">
        <f>$C$7</f>
        <v>Sopa</v>
      </c>
      <c r="D462" s="30"/>
      <c r="E462" s="67" t="s">
        <v>301</v>
      </c>
      <c r="F462" s="42">
        <v>465.7</v>
      </c>
      <c r="G462" s="42">
        <v>111.3</v>
      </c>
      <c r="H462" s="42">
        <v>3.6</v>
      </c>
      <c r="I462" s="42">
        <v>0.6</v>
      </c>
      <c r="J462" s="42">
        <v>15.8</v>
      </c>
      <c r="K462" s="42">
        <v>4.2</v>
      </c>
      <c r="L462" s="42">
        <v>3.8</v>
      </c>
      <c r="M462" s="42">
        <v>0.3</v>
      </c>
      <c r="N462" s="17" t="s">
        <v>337</v>
      </c>
    </row>
    <row r="463" spans="1:14" ht="38.25" customHeight="1">
      <c r="A463" s="163"/>
      <c r="B463" s="28">
        <v>0</v>
      </c>
      <c r="C463" s="45" t="s">
        <v>290</v>
      </c>
      <c r="D463" s="30"/>
      <c r="E463" s="67" t="s">
        <v>466</v>
      </c>
      <c r="F463" s="57">
        <f>1103.3+1198.4</f>
        <v>2301.6999999999998</v>
      </c>
      <c r="G463" s="57">
        <f>263.7+286.4</f>
        <v>550.09999999999991</v>
      </c>
      <c r="H463" s="57">
        <f>15.2+1.5</f>
        <v>16.7</v>
      </c>
      <c r="I463" s="57">
        <f>5.6+0.3</f>
        <v>5.8999999999999995</v>
      </c>
      <c r="J463" s="57">
        <v>56.9</v>
      </c>
      <c r="K463" s="57">
        <v>2.5</v>
      </c>
      <c r="L463" s="57">
        <f>31.8+9.7</f>
        <v>41.5</v>
      </c>
      <c r="M463" s="57">
        <v>0.3</v>
      </c>
      <c r="N463" s="17" t="s">
        <v>337</v>
      </c>
    </row>
    <row r="464" spans="1:14" ht="20.100000000000001" customHeight="1">
      <c r="A464" s="163"/>
      <c r="B464" s="19">
        <v>0</v>
      </c>
      <c r="C464" s="45" t="s">
        <v>174</v>
      </c>
      <c r="D464" s="30"/>
      <c r="E464" s="67" t="s">
        <v>305</v>
      </c>
      <c r="F464" s="42">
        <f>20+30+22.4</f>
        <v>72.400000000000006</v>
      </c>
      <c r="G464" s="42">
        <f>4.8+7.2+7.7</f>
        <v>19.7</v>
      </c>
      <c r="H464" s="42">
        <v>0.1</v>
      </c>
      <c r="I464" s="42">
        <v>0</v>
      </c>
      <c r="J464" s="42">
        <f>0.3+1.4+1.8</f>
        <v>3.5</v>
      </c>
      <c r="K464" s="42">
        <f>0.3+1.4+1.6</f>
        <v>3.3</v>
      </c>
      <c r="L464" s="42">
        <f>0.7+0.4+0.2</f>
        <v>1.3</v>
      </c>
      <c r="M464" s="42">
        <v>0.2</v>
      </c>
      <c r="N464" s="16" t="s">
        <v>337</v>
      </c>
    </row>
    <row r="465" spans="1:14" ht="20.100000000000001" customHeight="1">
      <c r="A465" s="163"/>
      <c r="B465" s="28">
        <v>0</v>
      </c>
      <c r="C465" s="38" t="str">
        <f>$C$10</f>
        <v>Sobremesa</v>
      </c>
      <c r="D465" s="30"/>
      <c r="E465" s="67" t="s">
        <v>470</v>
      </c>
      <c r="F465" s="42" t="s">
        <v>613</v>
      </c>
      <c r="G465" s="58" t="s">
        <v>614</v>
      </c>
      <c r="H465" s="58" t="s">
        <v>615</v>
      </c>
      <c r="I465" s="58" t="s">
        <v>616</v>
      </c>
      <c r="J465" s="58" t="s">
        <v>617</v>
      </c>
      <c r="K465" s="58" t="s">
        <v>618</v>
      </c>
      <c r="L465" s="58" t="s">
        <v>619</v>
      </c>
      <c r="M465" s="58" t="s">
        <v>620</v>
      </c>
      <c r="N465" s="17" t="s">
        <v>337</v>
      </c>
    </row>
    <row r="466" spans="1:14" ht="20.100000000000001" customHeight="1">
      <c r="A466" s="163"/>
      <c r="B466" s="19">
        <v>0</v>
      </c>
      <c r="C466" s="38" t="str">
        <f>$C$11</f>
        <v>Pão</v>
      </c>
      <c r="D466" s="30"/>
      <c r="E466" s="67" t="s">
        <v>297</v>
      </c>
      <c r="F466" s="156" t="s">
        <v>377</v>
      </c>
      <c r="G466" s="157"/>
      <c r="H466" s="157"/>
      <c r="I466" s="157"/>
      <c r="J466" s="157"/>
      <c r="K466" s="157"/>
      <c r="L466" s="157"/>
      <c r="M466" s="158"/>
      <c r="N466" s="16"/>
    </row>
    <row r="467" spans="1:14" ht="20.100000000000001" customHeight="1">
      <c r="A467" s="32"/>
      <c r="B467" s="28">
        <v>0</v>
      </c>
      <c r="C467" s="33"/>
      <c r="D467" s="30"/>
      <c r="E467" s="69"/>
      <c r="F467" s="34"/>
      <c r="G467" s="34"/>
      <c r="H467" s="34"/>
      <c r="I467" s="34"/>
      <c r="J467" s="34"/>
      <c r="K467" s="34"/>
      <c r="L467" s="34"/>
      <c r="M467" s="34"/>
      <c r="N467" s="4"/>
    </row>
    <row r="468" spans="1:14" ht="20.100000000000001" customHeight="1" thickBot="1">
      <c r="A468" s="35"/>
      <c r="B468" s="19">
        <v>0</v>
      </c>
      <c r="C468" s="36"/>
      <c r="D468" s="30"/>
      <c r="E468" s="66"/>
      <c r="F468" s="41" t="s">
        <v>370</v>
      </c>
      <c r="G468" s="41" t="s">
        <v>371</v>
      </c>
      <c r="H468" s="41" t="s">
        <v>372</v>
      </c>
      <c r="I468" s="41" t="s">
        <v>373</v>
      </c>
      <c r="J468" s="41" t="s">
        <v>374</v>
      </c>
      <c r="K468" s="41" t="s">
        <v>602</v>
      </c>
      <c r="L468" s="41" t="s">
        <v>603</v>
      </c>
      <c r="M468" s="41" t="s">
        <v>376</v>
      </c>
      <c r="N468" s="13"/>
    </row>
    <row r="469" spans="1:14" ht="20.100000000000001" customHeight="1" thickTop="1">
      <c r="A469" s="159" t="s">
        <v>296</v>
      </c>
      <c r="B469" s="28">
        <v>0</v>
      </c>
      <c r="C469" s="37" t="str">
        <f>$C$7</f>
        <v>Sopa</v>
      </c>
      <c r="D469" s="30"/>
      <c r="E469" s="67" t="s">
        <v>204</v>
      </c>
      <c r="F469" s="42">
        <v>983.7</v>
      </c>
      <c r="G469" s="42">
        <v>235.1</v>
      </c>
      <c r="H469" s="42">
        <v>5.4</v>
      </c>
      <c r="I469" s="42">
        <v>0.7</v>
      </c>
      <c r="J469" s="42">
        <v>35.200000000000003</v>
      </c>
      <c r="K469" s="42">
        <v>4.5</v>
      </c>
      <c r="L469" s="42">
        <v>10.6</v>
      </c>
      <c r="M469" s="42">
        <v>0.3</v>
      </c>
      <c r="N469" s="17" t="s">
        <v>337</v>
      </c>
    </row>
    <row r="470" spans="1:14" ht="33.75" customHeight="1">
      <c r="A470" s="163"/>
      <c r="B470" s="19">
        <v>0</v>
      </c>
      <c r="C470" s="45" t="s">
        <v>290</v>
      </c>
      <c r="D470" s="30"/>
      <c r="E470" s="67" t="s">
        <v>315</v>
      </c>
      <c r="F470" s="57">
        <v>1896.4</v>
      </c>
      <c r="G470" s="57">
        <v>453.2</v>
      </c>
      <c r="H470" s="57">
        <v>12.2</v>
      </c>
      <c r="I470" s="57">
        <v>1.9</v>
      </c>
      <c r="J470" s="57">
        <v>41.4</v>
      </c>
      <c r="K470" s="57">
        <v>2.5</v>
      </c>
      <c r="L470" s="57">
        <v>43.2</v>
      </c>
      <c r="M470" s="57">
        <v>4.9000000000000004</v>
      </c>
      <c r="N470" s="17" t="s">
        <v>337</v>
      </c>
    </row>
    <row r="471" spans="1:14" ht="20.100000000000001" customHeight="1">
      <c r="A471" s="163"/>
      <c r="B471" s="28">
        <v>0</v>
      </c>
      <c r="C471" s="45" t="s">
        <v>174</v>
      </c>
      <c r="D471" s="30"/>
      <c r="E471" s="67" t="s">
        <v>460</v>
      </c>
      <c r="F471" s="42">
        <f>20+163.3+23</f>
        <v>206.3</v>
      </c>
      <c r="G471" s="42">
        <f>4.8+39.2+5.5</f>
        <v>49.5</v>
      </c>
      <c r="H471" s="42">
        <v>0.8</v>
      </c>
      <c r="I471" s="42">
        <v>0</v>
      </c>
      <c r="J471" s="42">
        <f>0.3+0.6</f>
        <v>0.89999999999999991</v>
      </c>
      <c r="K471" s="42">
        <f>0.3+7.1+0.7</f>
        <v>8.1</v>
      </c>
      <c r="L471" s="42">
        <f>0.3+0.6</f>
        <v>0.89999999999999991</v>
      </c>
      <c r="M471" s="42">
        <v>0</v>
      </c>
      <c r="N471" s="16" t="s">
        <v>337</v>
      </c>
    </row>
    <row r="472" spans="1:14" ht="20.100000000000001" customHeight="1">
      <c r="A472" s="163"/>
      <c r="B472" s="19">
        <v>0</v>
      </c>
      <c r="C472" s="38" t="str">
        <f>$C$10</f>
        <v>Sobremesa</v>
      </c>
      <c r="D472" s="30"/>
      <c r="E472" s="67" t="s">
        <v>310</v>
      </c>
      <c r="F472" s="42">
        <v>319.7</v>
      </c>
      <c r="G472" s="58">
        <v>76.400000000000006</v>
      </c>
      <c r="H472" s="58">
        <v>0.5</v>
      </c>
      <c r="I472" s="58">
        <v>0.2</v>
      </c>
      <c r="J472" s="58">
        <v>16.899999999999999</v>
      </c>
      <c r="K472" s="58">
        <v>16.7</v>
      </c>
      <c r="L472" s="58">
        <v>1.1000000000000001</v>
      </c>
      <c r="M472" s="58">
        <v>0</v>
      </c>
      <c r="N472" s="17" t="s">
        <v>337</v>
      </c>
    </row>
    <row r="473" spans="1:14" ht="20.100000000000001" customHeight="1">
      <c r="A473" s="163"/>
      <c r="B473" s="28">
        <v>0</v>
      </c>
      <c r="C473" s="38" t="str">
        <f>$C$11</f>
        <v>Pão</v>
      </c>
      <c r="D473" s="30"/>
      <c r="E473" s="67" t="s">
        <v>297</v>
      </c>
      <c r="F473" s="156" t="s">
        <v>377</v>
      </c>
      <c r="G473" s="157"/>
      <c r="H473" s="157"/>
      <c r="I473" s="157"/>
      <c r="J473" s="157"/>
      <c r="K473" s="157"/>
      <c r="L473" s="157"/>
      <c r="M473" s="158"/>
      <c r="N473" s="16"/>
    </row>
    <row r="474" spans="1:14" ht="123" customHeight="1">
      <c r="A474" s="167" t="str">
        <f>+A$40</f>
        <v xml:space="preserve">
A sua refeição contém ou pode conter as seguintes substâncias ou produtos e seus derivados: 1Cereais que contêm glúten, 2Crustáceos , 3Ovos, 4Peixes, 5Amendoins, 6Soja, 7Leite, 8Frutos de casca rija, 9Aipo, 10Mostarda, 11Sementes de sésamo, 12Dióxido de enxofre e sulfitos, 13Tremoço, 14Moluscos. 
Para quem não é alérgico ou intolerante, estas substâncias ou produtos são completamente inofensivas. 
Caso necessite informação adicional sobre os produtos em causa deve solicitar aos funcionários.
Declaração nutricional: valores médios de 100 g ou 100 ml, calculados a partir dos valores médios conhecidos dos ingredientes utilizados, segundo o Instituto Nacional de Saúde Dr. Ricardo Jorge, Tabela da Composição de Alimentos (2007), e a informação disponibilizada pelos fornecedores.
Legenda: VE - Valor energético, Líp. - Lípidos, AG Sat. - Ácidos Gordos Saturados, HC - Hidratos de Carbono, Prot. - Proteínas.
</v>
      </c>
      <c r="B474" s="168"/>
      <c r="C474" s="168"/>
      <c r="D474" s="168"/>
      <c r="E474" s="168"/>
      <c r="F474" s="168"/>
      <c r="G474" s="168"/>
      <c r="H474" s="168"/>
      <c r="I474" s="168"/>
      <c r="J474" s="168"/>
      <c r="K474" s="168"/>
      <c r="L474" s="168"/>
      <c r="M474" s="168"/>
      <c r="N474" s="5"/>
    </row>
    <row r="475" spans="1:14" ht="39.950000000000003" customHeight="1">
      <c r="B475" s="28">
        <v>0</v>
      </c>
      <c r="C475" s="61" t="s">
        <v>395</v>
      </c>
      <c r="D475" s="26"/>
      <c r="E475" s="70" t="s">
        <v>190</v>
      </c>
      <c r="F475" s="39"/>
      <c r="G475" s="39"/>
      <c r="H475" s="39"/>
      <c r="I475" s="39"/>
      <c r="J475" s="39"/>
      <c r="K475" s="39"/>
      <c r="L475" s="39"/>
      <c r="M475" s="39"/>
      <c r="N475" s="1"/>
    </row>
    <row r="476" spans="1:14" ht="20.100000000000001" customHeight="1" thickBot="1">
      <c r="B476" s="19">
        <v>0</v>
      </c>
      <c r="E476" s="66"/>
      <c r="F476" s="41" t="s">
        <v>370</v>
      </c>
      <c r="G476" s="41" t="s">
        <v>371</v>
      </c>
      <c r="H476" s="41" t="s">
        <v>372</v>
      </c>
      <c r="I476" s="41" t="s">
        <v>373</v>
      </c>
      <c r="J476" s="41" t="s">
        <v>374</v>
      </c>
      <c r="K476" s="41" t="s">
        <v>602</v>
      </c>
      <c r="L476" s="41" t="s">
        <v>603</v>
      </c>
      <c r="M476" s="41" t="s">
        <v>376</v>
      </c>
      <c r="N476" s="3"/>
    </row>
    <row r="477" spans="1:14" ht="20.100000000000001" customHeight="1" thickTop="1">
      <c r="A477" s="159" t="s">
        <v>288</v>
      </c>
      <c r="B477" s="28">
        <v>0</v>
      </c>
      <c r="C477" s="29" t="s">
        <v>289</v>
      </c>
      <c r="D477" s="30"/>
      <c r="E477" s="67" t="s">
        <v>431</v>
      </c>
      <c r="F477" s="42">
        <v>260.60000000000002</v>
      </c>
      <c r="G477" s="42">
        <v>62.3</v>
      </c>
      <c r="H477" s="42">
        <v>3.5</v>
      </c>
      <c r="I477" s="42">
        <v>0.6</v>
      </c>
      <c r="J477" s="42">
        <v>6.1</v>
      </c>
      <c r="K477" s="42">
        <v>5.3</v>
      </c>
      <c r="L477" s="42">
        <v>2</v>
      </c>
      <c r="M477" s="42">
        <v>0.2</v>
      </c>
      <c r="N477" s="17" t="s">
        <v>337</v>
      </c>
    </row>
    <row r="478" spans="1:14" ht="38.25" customHeight="1">
      <c r="A478" s="163"/>
      <c r="B478" s="19">
        <v>0</v>
      </c>
      <c r="C478" s="45" t="s">
        <v>290</v>
      </c>
      <c r="D478" s="30"/>
      <c r="E478" s="67" t="s">
        <v>224</v>
      </c>
      <c r="F478" s="42">
        <f>1006.6+1051.4</f>
        <v>2058</v>
      </c>
      <c r="G478" s="42">
        <f>240.3+251.3</f>
        <v>491.6</v>
      </c>
      <c r="H478" s="42">
        <f>13.3+3.3</f>
        <v>16.600000000000001</v>
      </c>
      <c r="I478" s="42">
        <f>3.3+0.5</f>
        <v>3.8</v>
      </c>
      <c r="J478" s="42">
        <f>3.7+48.9</f>
        <v>52.6</v>
      </c>
      <c r="K478" s="42" t="s">
        <v>866</v>
      </c>
      <c r="L478" s="42">
        <f>25.8+5</f>
        <v>30.8</v>
      </c>
      <c r="M478" s="42">
        <v>2.2999999999999998</v>
      </c>
      <c r="N478" s="17" t="s">
        <v>337</v>
      </c>
    </row>
    <row r="479" spans="1:14" ht="20.100000000000001" customHeight="1">
      <c r="A479" s="163"/>
      <c r="B479" s="28">
        <v>0</v>
      </c>
      <c r="C479" s="45" t="s">
        <v>174</v>
      </c>
      <c r="D479" s="30"/>
      <c r="E479" s="67" t="s">
        <v>472</v>
      </c>
      <c r="F479" s="42">
        <f>28.5+23+40</f>
        <v>91.5</v>
      </c>
      <c r="G479" s="42">
        <f>6.8+5.5+9.6</f>
        <v>21.9</v>
      </c>
      <c r="H479" s="42">
        <v>0.4</v>
      </c>
      <c r="I479" s="42">
        <v>0</v>
      </c>
      <c r="J479" s="42">
        <f>1.2+0.7+1.8</f>
        <v>3.7</v>
      </c>
      <c r="K479" s="42">
        <f>1+0.6+1.8</f>
        <v>3.4000000000000004</v>
      </c>
      <c r="L479" s="42">
        <f>0.6+0.4+0.4</f>
        <v>1.4</v>
      </c>
      <c r="M479" s="42">
        <v>0</v>
      </c>
      <c r="N479" s="16" t="s">
        <v>337</v>
      </c>
    </row>
    <row r="480" spans="1:14" ht="20.100000000000001" customHeight="1">
      <c r="A480" s="163"/>
      <c r="B480" s="19">
        <v>0</v>
      </c>
      <c r="C480" s="31" t="s">
        <v>291</v>
      </c>
      <c r="D480" s="30"/>
      <c r="E480" s="67" t="s">
        <v>298</v>
      </c>
      <c r="F480" s="42">
        <v>319.7</v>
      </c>
      <c r="G480" s="58">
        <v>76.400000000000006</v>
      </c>
      <c r="H480" s="58">
        <v>0.5</v>
      </c>
      <c r="I480" s="58">
        <v>0.2</v>
      </c>
      <c r="J480" s="58">
        <v>16.899999999999999</v>
      </c>
      <c r="K480" s="58">
        <v>16.7</v>
      </c>
      <c r="L480" s="58">
        <v>1.1000000000000001</v>
      </c>
      <c r="M480" s="58">
        <v>0</v>
      </c>
      <c r="N480" s="17" t="s">
        <v>337</v>
      </c>
    </row>
    <row r="481" spans="1:14" ht="20.100000000000001" customHeight="1">
      <c r="A481" s="163"/>
      <c r="B481" s="28">
        <v>0</v>
      </c>
      <c r="C481" s="31" t="s">
        <v>292</v>
      </c>
      <c r="D481" s="30"/>
      <c r="E481" s="67" t="s">
        <v>297</v>
      </c>
      <c r="F481" s="156" t="s">
        <v>377</v>
      </c>
      <c r="G481" s="157"/>
      <c r="H481" s="157"/>
      <c r="I481" s="157"/>
      <c r="J481" s="157"/>
      <c r="K481" s="157"/>
      <c r="L481" s="157"/>
      <c r="M481" s="158"/>
      <c r="N481" s="16"/>
    </row>
    <row r="482" spans="1:14" ht="20.100000000000001" customHeight="1">
      <c r="A482" s="32"/>
      <c r="B482" s="19">
        <v>0</v>
      </c>
      <c r="C482" s="33"/>
      <c r="D482" s="30"/>
      <c r="E482" s="72"/>
      <c r="F482" s="34"/>
      <c r="G482" s="34"/>
      <c r="H482" s="34"/>
      <c r="I482" s="34"/>
      <c r="J482" s="34"/>
      <c r="K482" s="34"/>
      <c r="L482" s="34"/>
      <c r="M482" s="34"/>
      <c r="N482" s="4"/>
    </row>
    <row r="483" spans="1:14" ht="20.100000000000001" customHeight="1" thickBot="1">
      <c r="A483" s="35"/>
      <c r="B483" s="28">
        <v>0</v>
      </c>
      <c r="C483" s="36"/>
      <c r="D483" s="30"/>
      <c r="E483" s="66"/>
      <c r="F483" s="41" t="s">
        <v>370</v>
      </c>
      <c r="G483" s="41" t="s">
        <v>371</v>
      </c>
      <c r="H483" s="41" t="s">
        <v>372</v>
      </c>
      <c r="I483" s="41" t="s">
        <v>373</v>
      </c>
      <c r="J483" s="41" t="s">
        <v>374</v>
      </c>
      <c r="K483" s="41" t="s">
        <v>602</v>
      </c>
      <c r="L483" s="41" t="s">
        <v>603</v>
      </c>
      <c r="M483" s="41" t="s">
        <v>376</v>
      </c>
      <c r="N483" s="13"/>
    </row>
    <row r="484" spans="1:14" ht="20.100000000000001" customHeight="1" thickTop="1">
      <c r="A484" s="159" t="s">
        <v>293</v>
      </c>
      <c r="B484" s="19">
        <v>0</v>
      </c>
      <c r="C484" s="37" t="str">
        <f>$C$7</f>
        <v>Sopa</v>
      </c>
      <c r="D484" s="30"/>
      <c r="E484" s="67" t="s">
        <v>358</v>
      </c>
      <c r="F484" s="42">
        <v>893.8</v>
      </c>
      <c r="G484" s="42">
        <v>213.6</v>
      </c>
      <c r="H484" s="42">
        <v>3.8</v>
      </c>
      <c r="I484" s="42">
        <v>0.6</v>
      </c>
      <c r="J484" s="42">
        <v>32.700000000000003</v>
      </c>
      <c r="K484" s="42">
        <v>5.5</v>
      </c>
      <c r="L484" s="42">
        <v>11.6</v>
      </c>
      <c r="M484" s="42">
        <v>0.2</v>
      </c>
      <c r="N484" s="17" t="s">
        <v>337</v>
      </c>
    </row>
    <row r="485" spans="1:14" ht="42.75" customHeight="1">
      <c r="A485" s="163"/>
      <c r="B485" s="28">
        <v>0</v>
      </c>
      <c r="C485" s="45" t="s">
        <v>290</v>
      </c>
      <c r="D485" s="30"/>
      <c r="E485" s="67" t="s">
        <v>253</v>
      </c>
      <c r="F485" s="42">
        <f>1863.2+1120</f>
        <v>2983.2</v>
      </c>
      <c r="G485" s="42">
        <f>445.3+267.7</f>
        <v>713</v>
      </c>
      <c r="H485" s="42">
        <f>37.2+3</f>
        <v>40.200000000000003</v>
      </c>
      <c r="I485" s="42">
        <f>7.1+0.4</f>
        <v>7.5</v>
      </c>
      <c r="J485" s="42">
        <v>51.8</v>
      </c>
      <c r="K485" s="42">
        <v>3.2</v>
      </c>
      <c r="L485" s="42">
        <f>27.5+6.8</f>
        <v>34.299999999999997</v>
      </c>
      <c r="M485" s="42">
        <v>0.5</v>
      </c>
      <c r="N485" s="17" t="s">
        <v>337</v>
      </c>
    </row>
    <row r="486" spans="1:14" ht="20.100000000000001" customHeight="1">
      <c r="A486" s="163"/>
      <c r="B486" s="19">
        <v>0</v>
      </c>
      <c r="C486" s="45" t="s">
        <v>174</v>
      </c>
      <c r="D486" s="30"/>
      <c r="E486" s="67" t="s">
        <v>381</v>
      </c>
      <c r="F486" s="42">
        <f>20+30+163.3</f>
        <v>213.3</v>
      </c>
      <c r="G486" s="42">
        <f>4.8+7.2+39.2</f>
        <v>51.2</v>
      </c>
      <c r="H486" s="42">
        <v>0.6</v>
      </c>
      <c r="I486" s="42">
        <v>0</v>
      </c>
      <c r="J486" s="42">
        <f>0.3+1.4+7.1</f>
        <v>8.7999999999999989</v>
      </c>
      <c r="K486" s="42">
        <f>0.3+1.4</f>
        <v>1.7</v>
      </c>
      <c r="L486" s="42">
        <f>0.7+0.4+1.5</f>
        <v>2.6</v>
      </c>
      <c r="M486" s="42">
        <v>0.1</v>
      </c>
      <c r="N486" s="16" t="s">
        <v>337</v>
      </c>
    </row>
    <row r="487" spans="1:14" ht="20.100000000000001" customHeight="1">
      <c r="A487" s="163"/>
      <c r="B487" s="28">
        <v>0</v>
      </c>
      <c r="C487" s="38" t="str">
        <f>$C$10</f>
        <v>Sobremesa</v>
      </c>
      <c r="D487" s="30"/>
      <c r="E487" s="67" t="s">
        <v>326</v>
      </c>
      <c r="F487" s="42" t="s">
        <v>621</v>
      </c>
      <c r="G487" s="58" t="s">
        <v>622</v>
      </c>
      <c r="H487" s="58" t="s">
        <v>623</v>
      </c>
      <c r="I487" s="58" t="s">
        <v>624</v>
      </c>
      <c r="J487" s="58" t="s">
        <v>625</v>
      </c>
      <c r="K487" s="58" t="s">
        <v>626</v>
      </c>
      <c r="L487" s="58" t="s">
        <v>627</v>
      </c>
      <c r="M487" s="58" t="s">
        <v>628</v>
      </c>
      <c r="N487" s="17" t="s">
        <v>337</v>
      </c>
    </row>
    <row r="488" spans="1:14" ht="20.100000000000001" customHeight="1">
      <c r="A488" s="163"/>
      <c r="B488" s="19">
        <v>0</v>
      </c>
      <c r="C488" s="38" t="str">
        <f>$C$11</f>
        <v>Pão</v>
      </c>
      <c r="D488" s="30"/>
      <c r="E488" s="68" t="s">
        <v>297</v>
      </c>
      <c r="F488" s="156" t="s">
        <v>377</v>
      </c>
      <c r="G488" s="157"/>
      <c r="H488" s="157"/>
      <c r="I488" s="157"/>
      <c r="J488" s="157"/>
      <c r="K488" s="157"/>
      <c r="L488" s="157"/>
      <c r="M488" s="158"/>
      <c r="N488" s="16"/>
    </row>
    <row r="489" spans="1:14" ht="20.100000000000001" customHeight="1">
      <c r="A489" s="32"/>
      <c r="B489" s="28">
        <v>0</v>
      </c>
      <c r="C489" s="33"/>
      <c r="D489" s="30"/>
      <c r="E489" s="69"/>
      <c r="F489" s="34"/>
      <c r="G489" s="34"/>
      <c r="H489" s="34"/>
      <c r="I489" s="34"/>
      <c r="J489" s="34"/>
      <c r="K489" s="34"/>
      <c r="L489" s="34"/>
      <c r="M489" s="34"/>
      <c r="N489" s="4"/>
    </row>
    <row r="490" spans="1:14" ht="20.100000000000001" customHeight="1" thickBot="1">
      <c r="A490" s="35"/>
      <c r="B490" s="19">
        <v>0</v>
      </c>
      <c r="C490" s="36"/>
      <c r="D490" s="30"/>
      <c r="E490" s="66"/>
      <c r="F490" s="41" t="s">
        <v>370</v>
      </c>
      <c r="G490" s="41" t="s">
        <v>371</v>
      </c>
      <c r="H490" s="41" t="s">
        <v>372</v>
      </c>
      <c r="I490" s="41" t="s">
        <v>373</v>
      </c>
      <c r="J490" s="41" t="s">
        <v>374</v>
      </c>
      <c r="K490" s="41" t="s">
        <v>602</v>
      </c>
      <c r="L490" s="41" t="s">
        <v>603</v>
      </c>
      <c r="M490" s="41" t="s">
        <v>376</v>
      </c>
      <c r="N490" s="13"/>
    </row>
    <row r="491" spans="1:14" ht="20.100000000000001" customHeight="1" thickTop="1">
      <c r="A491" s="159" t="s">
        <v>294</v>
      </c>
      <c r="B491" s="28">
        <v>0</v>
      </c>
      <c r="C491" s="37" t="str">
        <f>$C$7</f>
        <v>Sopa</v>
      </c>
      <c r="D491" s="30"/>
      <c r="E491" s="67" t="s">
        <v>225</v>
      </c>
      <c r="F491" s="42">
        <v>509.8</v>
      </c>
      <c r="G491" s="42">
        <v>121.9</v>
      </c>
      <c r="H491" s="42">
        <v>3.6</v>
      </c>
      <c r="I491" s="42">
        <v>6.4</v>
      </c>
      <c r="J491" s="42">
        <v>18.100000000000001</v>
      </c>
      <c r="K491" s="42">
        <v>5</v>
      </c>
      <c r="L491" s="42">
        <v>4.5</v>
      </c>
      <c r="M491" s="42">
        <v>0.1</v>
      </c>
      <c r="N491" s="17" t="s">
        <v>337</v>
      </c>
    </row>
    <row r="492" spans="1:14" ht="44.25" customHeight="1">
      <c r="A492" s="163"/>
      <c r="B492" s="19">
        <v>0</v>
      </c>
      <c r="C492" s="45" t="s">
        <v>290</v>
      </c>
      <c r="D492" s="30"/>
      <c r="E492" s="67" t="s">
        <v>259</v>
      </c>
      <c r="F492" s="57">
        <v>3138.2</v>
      </c>
      <c r="G492" s="57">
        <v>749.9</v>
      </c>
      <c r="H492" s="57">
        <v>18.2</v>
      </c>
      <c r="I492" s="57">
        <v>4.4000000000000004</v>
      </c>
      <c r="J492" s="57">
        <v>81.7</v>
      </c>
      <c r="K492" s="57">
        <v>8.3000000000000007</v>
      </c>
      <c r="L492" s="57">
        <v>63.1</v>
      </c>
      <c r="M492" s="57">
        <v>1.2</v>
      </c>
      <c r="N492" s="17" t="s">
        <v>337</v>
      </c>
    </row>
    <row r="493" spans="1:14" ht="20.100000000000001" customHeight="1">
      <c r="A493" s="163"/>
      <c r="B493" s="28">
        <v>0</v>
      </c>
      <c r="C493" s="45" t="s">
        <v>174</v>
      </c>
      <c r="D493" s="30"/>
      <c r="E493" s="67" t="s">
        <v>473</v>
      </c>
      <c r="F493" s="42">
        <f>20+32.4+23</f>
        <v>75.400000000000006</v>
      </c>
      <c r="G493" s="42">
        <f>4.8+7.7+5.5</f>
        <v>18</v>
      </c>
      <c r="H493" s="42">
        <v>0.3</v>
      </c>
      <c r="I493" s="42">
        <v>0</v>
      </c>
      <c r="J493" s="42">
        <f>0.3+1.8+0.7</f>
        <v>2.8</v>
      </c>
      <c r="K493" s="42">
        <f>0.3+1.6+0.6</f>
        <v>2.5</v>
      </c>
      <c r="L493" s="42">
        <f>0.7+0.2+0.4</f>
        <v>1.2999999999999998</v>
      </c>
      <c r="M493" s="42">
        <v>0.1</v>
      </c>
      <c r="N493" s="16" t="s">
        <v>337</v>
      </c>
    </row>
    <row r="494" spans="1:14" ht="20.100000000000001" customHeight="1">
      <c r="A494" s="163"/>
      <c r="B494" s="19">
        <v>0</v>
      </c>
      <c r="C494" s="38" t="str">
        <f>$C$10</f>
        <v>Sobremesa</v>
      </c>
      <c r="D494" s="30"/>
      <c r="E494" s="67" t="s">
        <v>298</v>
      </c>
      <c r="F494" s="42">
        <v>319.7</v>
      </c>
      <c r="G494" s="58">
        <v>76.400000000000006</v>
      </c>
      <c r="H494" s="58">
        <v>0.5</v>
      </c>
      <c r="I494" s="58">
        <v>0.2</v>
      </c>
      <c r="J494" s="58">
        <v>16.899999999999999</v>
      </c>
      <c r="K494" s="58">
        <v>16.7</v>
      </c>
      <c r="L494" s="58">
        <v>1.1000000000000001</v>
      </c>
      <c r="M494" s="58">
        <v>0</v>
      </c>
      <c r="N494" s="17" t="s">
        <v>337</v>
      </c>
    </row>
    <row r="495" spans="1:14" ht="20.100000000000001" customHeight="1">
      <c r="A495" s="163"/>
      <c r="B495" s="28">
        <v>0</v>
      </c>
      <c r="C495" s="38" t="str">
        <f>$C$11</f>
        <v>Pão</v>
      </c>
      <c r="D495" s="30"/>
      <c r="E495" s="67" t="s">
        <v>297</v>
      </c>
      <c r="F495" s="156" t="s">
        <v>377</v>
      </c>
      <c r="G495" s="157"/>
      <c r="H495" s="157"/>
      <c r="I495" s="157"/>
      <c r="J495" s="157"/>
      <c r="K495" s="157"/>
      <c r="L495" s="157"/>
      <c r="M495" s="158"/>
      <c r="N495" s="16"/>
    </row>
    <row r="496" spans="1:14" ht="20.100000000000001" customHeight="1">
      <c r="A496" s="32"/>
      <c r="B496" s="19">
        <v>0</v>
      </c>
      <c r="C496" s="33"/>
      <c r="D496" s="30"/>
      <c r="E496" s="69"/>
      <c r="F496" s="34"/>
      <c r="G496" s="34"/>
      <c r="H496" s="34"/>
      <c r="I496" s="34"/>
      <c r="J496" s="34"/>
      <c r="K496" s="34"/>
      <c r="L496" s="34"/>
      <c r="M496" s="34"/>
      <c r="N496" s="4"/>
    </row>
    <row r="497" spans="1:14" ht="20.100000000000001" customHeight="1" thickBot="1">
      <c r="A497" s="35"/>
      <c r="B497" s="28">
        <v>0</v>
      </c>
      <c r="C497" s="36"/>
      <c r="D497" s="30"/>
      <c r="E497" s="66"/>
      <c r="F497" s="41" t="s">
        <v>370</v>
      </c>
      <c r="G497" s="41" t="s">
        <v>371</v>
      </c>
      <c r="H497" s="41" t="s">
        <v>372</v>
      </c>
      <c r="I497" s="41" t="s">
        <v>373</v>
      </c>
      <c r="J497" s="41" t="s">
        <v>374</v>
      </c>
      <c r="K497" s="41" t="s">
        <v>602</v>
      </c>
      <c r="L497" s="41" t="s">
        <v>603</v>
      </c>
      <c r="M497" s="41" t="s">
        <v>376</v>
      </c>
      <c r="N497" s="13"/>
    </row>
    <row r="498" spans="1:14" ht="20.100000000000001" customHeight="1" thickTop="1">
      <c r="A498" s="159" t="s">
        <v>295</v>
      </c>
      <c r="B498" s="19">
        <v>0</v>
      </c>
      <c r="C498" s="37" t="str">
        <f>$C$7</f>
        <v>Sopa</v>
      </c>
      <c r="D498" s="30"/>
      <c r="E498" s="67" t="s">
        <v>474</v>
      </c>
      <c r="F498" s="57">
        <v>470.2</v>
      </c>
      <c r="G498" s="57">
        <v>112.4</v>
      </c>
      <c r="H498" s="57">
        <v>3.3</v>
      </c>
      <c r="I498" s="57">
        <v>0.5</v>
      </c>
      <c r="J498" s="57">
        <v>17.2</v>
      </c>
      <c r="K498" s="57">
        <v>5.6</v>
      </c>
      <c r="L498" s="57">
        <v>3.3</v>
      </c>
      <c r="M498" s="57">
        <v>0.2</v>
      </c>
      <c r="N498" s="17" t="s">
        <v>337</v>
      </c>
    </row>
    <row r="499" spans="1:14" ht="18" customHeight="1">
      <c r="A499" s="163"/>
      <c r="B499" s="28">
        <v>0</v>
      </c>
      <c r="C499" s="45" t="s">
        <v>290</v>
      </c>
      <c r="D499" s="30"/>
      <c r="E499" s="67" t="s">
        <v>226</v>
      </c>
      <c r="F499" s="57">
        <f>624.6+1073.3</f>
        <v>1697.9</v>
      </c>
      <c r="G499" s="57">
        <f>149.3+256.5</f>
        <v>405.8</v>
      </c>
      <c r="H499" s="57">
        <f>3.2+3.4</f>
        <v>6.6</v>
      </c>
      <c r="I499" s="57">
        <f>0.5+0.5</f>
        <v>1</v>
      </c>
      <c r="J499" s="57">
        <f>0.7+49.3</f>
        <v>50</v>
      </c>
      <c r="K499" s="57">
        <f>0.6+0.6</f>
        <v>1.2</v>
      </c>
      <c r="L499" s="57">
        <f>29.4+5.7</f>
        <v>35.1</v>
      </c>
      <c r="M499" s="57">
        <v>0.5</v>
      </c>
      <c r="N499" s="17" t="s">
        <v>337</v>
      </c>
    </row>
    <row r="500" spans="1:14" ht="20.100000000000001" customHeight="1">
      <c r="A500" s="163"/>
      <c r="B500" s="19">
        <v>0</v>
      </c>
      <c r="C500" s="45" t="s">
        <v>174</v>
      </c>
      <c r="D500" s="30"/>
      <c r="E500" s="67" t="s">
        <v>475</v>
      </c>
      <c r="F500" s="42">
        <f>32.4+28.5+40</f>
        <v>100.9</v>
      </c>
      <c r="G500" s="42">
        <f>7.7+6.8+9.6</f>
        <v>24.1</v>
      </c>
      <c r="H500" s="42">
        <v>0.2</v>
      </c>
      <c r="I500" s="42">
        <v>0</v>
      </c>
      <c r="J500" s="42">
        <f>1.8+1.2+1.8</f>
        <v>4.8</v>
      </c>
      <c r="K500" s="42">
        <f>1.6+1+1.8</f>
        <v>4.4000000000000004</v>
      </c>
      <c r="L500" s="42">
        <f>0.2+0.6+0.4</f>
        <v>1.2000000000000002</v>
      </c>
      <c r="M500" s="42" t="s">
        <v>865</v>
      </c>
      <c r="N500" s="16" t="s">
        <v>337</v>
      </c>
    </row>
    <row r="501" spans="1:14" ht="20.100000000000001" customHeight="1">
      <c r="A501" s="163"/>
      <c r="B501" s="28">
        <v>0</v>
      </c>
      <c r="C501" s="38" t="str">
        <f>$C$10</f>
        <v>Sobremesa</v>
      </c>
      <c r="D501" s="30"/>
      <c r="E501" s="67" t="s">
        <v>476</v>
      </c>
      <c r="F501" s="42" t="s">
        <v>650</v>
      </c>
      <c r="G501" s="58" t="s">
        <v>651</v>
      </c>
      <c r="H501" s="58" t="s">
        <v>652</v>
      </c>
      <c r="I501" s="58" t="s">
        <v>653</v>
      </c>
      <c r="J501" s="58" t="s">
        <v>654</v>
      </c>
      <c r="K501" s="58" t="s">
        <v>655</v>
      </c>
      <c r="L501" s="58" t="s">
        <v>656</v>
      </c>
      <c r="M501" s="58" t="s">
        <v>620</v>
      </c>
      <c r="N501" s="17" t="s">
        <v>337</v>
      </c>
    </row>
    <row r="502" spans="1:14" ht="20.100000000000001" customHeight="1">
      <c r="A502" s="163"/>
      <c r="B502" s="19">
        <v>0</v>
      </c>
      <c r="C502" s="38" t="str">
        <f>$C$11</f>
        <v>Pão</v>
      </c>
      <c r="D502" s="30"/>
      <c r="E502" s="68" t="s">
        <v>297</v>
      </c>
      <c r="F502" s="156" t="s">
        <v>377</v>
      </c>
      <c r="G502" s="157"/>
      <c r="H502" s="157"/>
      <c r="I502" s="157"/>
      <c r="J502" s="157"/>
      <c r="K502" s="157"/>
      <c r="L502" s="157"/>
      <c r="M502" s="158"/>
      <c r="N502" s="16"/>
    </row>
    <row r="503" spans="1:14" ht="20.100000000000001" customHeight="1">
      <c r="A503" s="32"/>
      <c r="B503" s="28">
        <v>0</v>
      </c>
      <c r="C503" s="33"/>
      <c r="D503" s="30"/>
      <c r="E503" s="69"/>
      <c r="F503" s="34"/>
      <c r="G503" s="34"/>
      <c r="H503" s="34"/>
      <c r="I503" s="34"/>
      <c r="J503" s="34"/>
      <c r="K503" s="34"/>
      <c r="L503" s="34"/>
      <c r="M503" s="34"/>
      <c r="N503" s="4"/>
    </row>
    <row r="504" spans="1:14" ht="20.100000000000001" customHeight="1" thickBot="1">
      <c r="A504" s="35"/>
      <c r="B504" s="19">
        <v>0</v>
      </c>
      <c r="C504" s="36"/>
      <c r="D504" s="30"/>
      <c r="E504" s="66"/>
      <c r="F504" s="41" t="s">
        <v>370</v>
      </c>
      <c r="G504" s="41" t="s">
        <v>371</v>
      </c>
      <c r="H504" s="41" t="s">
        <v>372</v>
      </c>
      <c r="I504" s="41" t="s">
        <v>373</v>
      </c>
      <c r="J504" s="41" t="s">
        <v>374</v>
      </c>
      <c r="K504" s="41" t="s">
        <v>602</v>
      </c>
      <c r="L504" s="41" t="s">
        <v>603</v>
      </c>
      <c r="M504" s="41" t="s">
        <v>376</v>
      </c>
      <c r="N504" s="13"/>
    </row>
    <row r="505" spans="1:14" ht="20.100000000000001" customHeight="1" thickTop="1">
      <c r="A505" s="159" t="s">
        <v>296</v>
      </c>
      <c r="B505" s="28">
        <v>0</v>
      </c>
      <c r="C505" s="37" t="str">
        <f>$C$7</f>
        <v>Sopa</v>
      </c>
      <c r="D505" s="30"/>
      <c r="E505" s="67"/>
      <c r="F505" s="42"/>
      <c r="G505" s="42"/>
      <c r="H505" s="42"/>
      <c r="I505" s="42"/>
      <c r="J505" s="42"/>
      <c r="K505" s="42"/>
      <c r="L505" s="42"/>
      <c r="M505" s="42"/>
      <c r="N505" s="17" t="s">
        <v>337</v>
      </c>
    </row>
    <row r="506" spans="1:14" ht="48.75" customHeight="1">
      <c r="A506" s="163"/>
      <c r="B506" s="19">
        <v>0</v>
      </c>
      <c r="C506" s="45" t="s">
        <v>290</v>
      </c>
      <c r="D506" s="30"/>
      <c r="E506" s="75" t="s">
        <v>196</v>
      </c>
      <c r="F506" s="42"/>
      <c r="G506" s="42"/>
      <c r="H506" s="42"/>
      <c r="I506" s="42"/>
      <c r="J506" s="42"/>
      <c r="K506" s="42"/>
      <c r="L506" s="42"/>
      <c r="M506" s="42"/>
      <c r="N506" s="17" t="s">
        <v>337</v>
      </c>
    </row>
    <row r="507" spans="1:14" ht="20.100000000000001" customHeight="1">
      <c r="A507" s="163"/>
      <c r="B507" s="28">
        <v>0</v>
      </c>
      <c r="C507" s="45" t="s">
        <v>174</v>
      </c>
      <c r="D507" s="30"/>
      <c r="E507" s="67"/>
      <c r="F507" s="42"/>
      <c r="G507" s="42"/>
      <c r="H507" s="42"/>
      <c r="I507" s="42"/>
      <c r="J507" s="42"/>
      <c r="K507" s="42"/>
      <c r="L507" s="42"/>
      <c r="M507" s="42"/>
      <c r="N507" s="16" t="s">
        <v>337</v>
      </c>
    </row>
    <row r="508" spans="1:14" ht="20.100000000000001" customHeight="1">
      <c r="A508" s="163"/>
      <c r="B508" s="19">
        <v>0</v>
      </c>
      <c r="C508" s="38" t="str">
        <f>$C$10</f>
        <v>Sobremesa</v>
      </c>
      <c r="D508" s="30"/>
      <c r="E508" s="67"/>
      <c r="F508" s="42"/>
      <c r="G508" s="42"/>
      <c r="H508" s="42"/>
      <c r="I508" s="42"/>
      <c r="J508" s="42"/>
      <c r="K508" s="42"/>
      <c r="L508" s="42"/>
      <c r="M508" s="42"/>
      <c r="N508" s="17" t="s">
        <v>337</v>
      </c>
    </row>
    <row r="509" spans="1:14" ht="20.100000000000001" customHeight="1">
      <c r="A509" s="163"/>
      <c r="B509" s="28">
        <v>0</v>
      </c>
      <c r="C509" s="38" t="str">
        <f>$C$11</f>
        <v>Pão</v>
      </c>
      <c r="D509" s="30"/>
      <c r="E509" s="68"/>
      <c r="F509" s="156" t="s">
        <v>377</v>
      </c>
      <c r="G509" s="157"/>
      <c r="H509" s="157"/>
      <c r="I509" s="157"/>
      <c r="J509" s="157"/>
      <c r="K509" s="157"/>
      <c r="L509" s="157"/>
      <c r="M509" s="158"/>
      <c r="N509" s="16"/>
    </row>
    <row r="510" spans="1:14" ht="123" customHeight="1">
      <c r="A510" s="167" t="str">
        <f>+A$40</f>
        <v xml:space="preserve">
A sua refeição contém ou pode conter as seguintes substâncias ou produtos e seus derivados: 1Cereais que contêm glúten, 2Crustáceos , 3Ovos, 4Peixes, 5Amendoins, 6Soja, 7Leite, 8Frutos de casca rija, 9Aipo, 10Mostarda, 11Sementes de sésamo, 12Dióxido de enxofre e sulfitos, 13Tremoço, 14Moluscos. 
Para quem não é alérgico ou intolerante, estas substâncias ou produtos são completamente inofensivas. 
Caso necessite informação adicional sobre os produtos em causa deve solicitar aos funcionários.
Declaração nutricional: valores médios de 100 g ou 100 ml, calculados a partir dos valores médios conhecidos dos ingredientes utilizados, segundo o Instituto Nacional de Saúde Dr. Ricardo Jorge, Tabela da Composição de Alimentos (2007), e a informação disponibilizada pelos fornecedores.
Legenda: VE - Valor energético, Líp. - Lípidos, AG Sat. - Ácidos Gordos Saturados, HC - Hidratos de Carbono, Prot. - Proteínas.
</v>
      </c>
      <c r="B510" s="168"/>
      <c r="C510" s="168"/>
      <c r="D510" s="168"/>
      <c r="E510" s="168"/>
      <c r="F510" s="168"/>
      <c r="G510" s="168"/>
      <c r="H510" s="168"/>
      <c r="I510" s="168"/>
      <c r="J510" s="168"/>
      <c r="K510" s="168"/>
      <c r="L510" s="168"/>
      <c r="M510" s="168"/>
      <c r="N510" s="5"/>
    </row>
    <row r="511" spans="1:14" ht="20.100000000000001" customHeight="1">
      <c r="B511" s="28"/>
      <c r="C511" s="25"/>
      <c r="D511" s="26"/>
      <c r="E511" s="73"/>
      <c r="F511" s="39"/>
      <c r="G511" s="39"/>
      <c r="H511" s="39"/>
      <c r="I511" s="39"/>
      <c r="J511" s="39"/>
      <c r="K511" s="39"/>
      <c r="L511" s="39"/>
      <c r="M511" s="39"/>
      <c r="N511" s="14"/>
    </row>
    <row r="512" spans="1:14" ht="39.950000000000003" customHeight="1">
      <c r="B512" s="28">
        <v>0</v>
      </c>
      <c r="C512" s="61" t="s">
        <v>191</v>
      </c>
      <c r="D512" s="26"/>
      <c r="E512" s="70" t="s">
        <v>192</v>
      </c>
      <c r="F512" s="39"/>
      <c r="G512" s="39"/>
      <c r="H512" s="39"/>
      <c r="I512" s="39"/>
      <c r="J512" s="39"/>
      <c r="K512" s="39"/>
      <c r="L512" s="39"/>
      <c r="M512" s="39"/>
      <c r="N512" s="1"/>
    </row>
    <row r="513" spans="1:14" ht="20.100000000000001" customHeight="1" thickBot="1">
      <c r="B513" s="19">
        <v>0</v>
      </c>
      <c r="E513" s="66"/>
      <c r="F513" s="41" t="s">
        <v>370</v>
      </c>
      <c r="G513" s="41" t="s">
        <v>371</v>
      </c>
      <c r="H513" s="41" t="s">
        <v>372</v>
      </c>
      <c r="I513" s="41" t="s">
        <v>373</v>
      </c>
      <c r="J513" s="41" t="s">
        <v>374</v>
      </c>
      <c r="K513" s="41" t="s">
        <v>602</v>
      </c>
      <c r="L513" s="41" t="s">
        <v>603</v>
      </c>
      <c r="M513" s="41" t="s">
        <v>376</v>
      </c>
      <c r="N513" s="3"/>
    </row>
    <row r="514" spans="1:14" ht="23.25" customHeight="1" thickTop="1">
      <c r="A514" s="159" t="s">
        <v>288</v>
      </c>
      <c r="B514" s="19">
        <v>0</v>
      </c>
      <c r="C514" s="29" t="s">
        <v>289</v>
      </c>
      <c r="D514" s="30"/>
      <c r="E514" s="67" t="s">
        <v>227</v>
      </c>
      <c r="F514" s="42">
        <v>589.1</v>
      </c>
      <c r="G514" s="42">
        <v>140.80000000000001</v>
      </c>
      <c r="H514" s="42">
        <v>3.6</v>
      </c>
      <c r="I514" s="42">
        <v>0.5</v>
      </c>
      <c r="J514" s="42">
        <v>20.2</v>
      </c>
      <c r="K514" s="42">
        <v>6.4</v>
      </c>
      <c r="L514" s="42">
        <v>6.8</v>
      </c>
      <c r="M514" s="42">
        <v>0.2</v>
      </c>
      <c r="N514" s="17" t="s">
        <v>337</v>
      </c>
    </row>
    <row r="515" spans="1:14" ht="20.100000000000001" customHeight="1">
      <c r="A515" s="163"/>
      <c r="B515" s="28">
        <v>0</v>
      </c>
      <c r="C515" s="45" t="s">
        <v>290</v>
      </c>
      <c r="D515" s="30"/>
      <c r="E515" s="67" t="s">
        <v>260</v>
      </c>
      <c r="F515" s="42">
        <f>1029.5+1700.7</f>
        <v>2730.2</v>
      </c>
      <c r="G515" s="42">
        <f>406.5+246</f>
        <v>652.5</v>
      </c>
      <c r="H515" s="42">
        <f>22.9+3.3</f>
        <v>26.2</v>
      </c>
      <c r="I515" s="42">
        <f>2.8+0.5</f>
        <v>3.3</v>
      </c>
      <c r="J515" s="42">
        <f>39.9+48.1</f>
        <v>88</v>
      </c>
      <c r="K515" s="42">
        <f>2+1.1</f>
        <v>3.1</v>
      </c>
      <c r="L515" s="42">
        <f>9.2+4.6</f>
        <v>13.799999999999999</v>
      </c>
      <c r="M515" s="42">
        <v>1.6</v>
      </c>
      <c r="N515" s="17" t="s">
        <v>337</v>
      </c>
    </row>
    <row r="516" spans="1:14" ht="20.100000000000001" customHeight="1">
      <c r="A516" s="163"/>
      <c r="B516" s="19">
        <v>0</v>
      </c>
      <c r="C516" s="45" t="s">
        <v>174</v>
      </c>
      <c r="D516" s="30"/>
      <c r="E516" s="67" t="s">
        <v>261</v>
      </c>
      <c r="F516" s="42">
        <f>20+32.4+28</f>
        <v>80.400000000000006</v>
      </c>
      <c r="G516" s="42">
        <f>4.8+7.7+6.7</f>
        <v>19.2</v>
      </c>
      <c r="H516" s="42">
        <f>0.1+0.1+0.1</f>
        <v>0.30000000000000004</v>
      </c>
      <c r="I516" s="42">
        <v>0</v>
      </c>
      <c r="J516" s="42">
        <f>0.3+1.8+0.8</f>
        <v>2.9000000000000004</v>
      </c>
      <c r="K516" s="42">
        <f>0.3+1.6+0.8</f>
        <v>2.7</v>
      </c>
      <c r="L516" s="42">
        <f>0.7+0.2+0.6</f>
        <v>1.5</v>
      </c>
      <c r="M516" s="42">
        <v>0.1</v>
      </c>
      <c r="N516" s="62" t="s">
        <v>337</v>
      </c>
    </row>
    <row r="517" spans="1:14" ht="20.100000000000001" customHeight="1">
      <c r="A517" s="163"/>
      <c r="B517" s="28">
        <v>0</v>
      </c>
      <c r="C517" s="31" t="s">
        <v>291</v>
      </c>
      <c r="D517" s="30"/>
      <c r="E517" s="67" t="s">
        <v>310</v>
      </c>
      <c r="F517" s="42">
        <v>319.7</v>
      </c>
      <c r="G517" s="58">
        <v>76.400000000000006</v>
      </c>
      <c r="H517" s="58">
        <v>0.5</v>
      </c>
      <c r="I517" s="58">
        <v>0.2</v>
      </c>
      <c r="J517" s="58">
        <v>16.899999999999999</v>
      </c>
      <c r="K517" s="58">
        <v>16.7</v>
      </c>
      <c r="L517" s="58">
        <v>1.1000000000000001</v>
      </c>
      <c r="M517" s="58">
        <v>0</v>
      </c>
      <c r="N517" s="17" t="s">
        <v>337</v>
      </c>
    </row>
    <row r="518" spans="1:14" ht="20.100000000000001" customHeight="1">
      <c r="A518" s="163"/>
      <c r="B518" s="19">
        <v>0</v>
      </c>
      <c r="C518" s="31" t="s">
        <v>292</v>
      </c>
      <c r="D518" s="30"/>
      <c r="E518" s="68" t="s">
        <v>297</v>
      </c>
      <c r="F518" s="156" t="s">
        <v>377</v>
      </c>
      <c r="G518" s="157"/>
      <c r="H518" s="157"/>
      <c r="I518" s="157"/>
      <c r="J518" s="157"/>
      <c r="K518" s="157"/>
      <c r="L518" s="157"/>
      <c r="M518" s="158"/>
      <c r="N518" s="62"/>
    </row>
    <row r="519" spans="1:14" ht="20.100000000000001" customHeight="1">
      <c r="A519" s="32"/>
      <c r="B519" s="28">
        <v>0</v>
      </c>
      <c r="C519" s="33"/>
      <c r="D519" s="30"/>
      <c r="E519" s="69"/>
      <c r="F519" s="34"/>
      <c r="G519" s="34"/>
      <c r="H519" s="34"/>
      <c r="I519" s="34"/>
      <c r="J519" s="34"/>
      <c r="K519" s="34"/>
      <c r="L519" s="34"/>
      <c r="M519" s="34"/>
      <c r="N519" s="4"/>
    </row>
    <row r="520" spans="1:14" ht="20.100000000000001" customHeight="1" thickBot="1">
      <c r="A520" s="35"/>
      <c r="B520" s="19">
        <v>0</v>
      </c>
      <c r="C520" s="36"/>
      <c r="D520" s="30"/>
      <c r="E520" s="66"/>
      <c r="F520" s="41" t="s">
        <v>370</v>
      </c>
      <c r="G520" s="41" t="s">
        <v>371</v>
      </c>
      <c r="H520" s="41" t="s">
        <v>372</v>
      </c>
      <c r="I520" s="41" t="s">
        <v>373</v>
      </c>
      <c r="J520" s="41" t="s">
        <v>374</v>
      </c>
      <c r="K520" s="41" t="s">
        <v>602</v>
      </c>
      <c r="L520" s="41" t="s">
        <v>603</v>
      </c>
      <c r="M520" s="41" t="s">
        <v>376</v>
      </c>
      <c r="N520" s="13"/>
    </row>
    <row r="521" spans="1:14" ht="27" customHeight="1" thickTop="1">
      <c r="A521" s="159" t="s">
        <v>293</v>
      </c>
      <c r="B521" s="28">
        <v>0</v>
      </c>
      <c r="C521" s="37" t="str">
        <f>$C$7</f>
        <v>Sopa</v>
      </c>
      <c r="D521" s="30"/>
      <c r="E521" s="74" t="s">
        <v>228</v>
      </c>
      <c r="F521" s="42">
        <v>890.2</v>
      </c>
      <c r="G521" s="42">
        <v>213</v>
      </c>
      <c r="H521" s="42">
        <v>4</v>
      </c>
      <c r="I521" s="42">
        <v>0.6</v>
      </c>
      <c r="J521" s="42">
        <v>32.200000000000003</v>
      </c>
      <c r="K521" s="42">
        <v>4.4000000000000004</v>
      </c>
      <c r="L521" s="42">
        <v>11.4</v>
      </c>
      <c r="M521" s="42">
        <v>0.4</v>
      </c>
      <c r="N521" s="17" t="s">
        <v>337</v>
      </c>
    </row>
    <row r="522" spans="1:14" ht="37.5" customHeight="1">
      <c r="A522" s="163"/>
      <c r="B522" s="19">
        <v>0</v>
      </c>
      <c r="C522" s="45" t="s">
        <v>290</v>
      </c>
      <c r="D522" s="30"/>
      <c r="E522" s="74" t="s">
        <v>229</v>
      </c>
      <c r="F522" s="42">
        <f>904+206+1198.4</f>
        <v>2308.4</v>
      </c>
      <c r="G522" s="42">
        <f>240.1+49.2+286.4</f>
        <v>575.70000000000005</v>
      </c>
      <c r="H522" s="42">
        <f>10.5+0.5+1.5</f>
        <v>12.5</v>
      </c>
      <c r="I522" s="42">
        <f>3+0.2+0.3</f>
        <v>3.5</v>
      </c>
      <c r="J522" s="42">
        <f>0.7+7.6+56.9</f>
        <v>65.2</v>
      </c>
      <c r="K522" s="42">
        <f>0.6+4.2+2.5</f>
        <v>7.3</v>
      </c>
      <c r="L522" s="42">
        <f>35.7+4+9.7</f>
        <v>49.400000000000006</v>
      </c>
      <c r="M522" s="42">
        <v>0.6</v>
      </c>
      <c r="N522" s="17" t="s">
        <v>337</v>
      </c>
    </row>
    <row r="523" spans="1:14" ht="20.100000000000001" customHeight="1">
      <c r="A523" s="163"/>
      <c r="B523" s="28">
        <v>0</v>
      </c>
      <c r="C523" s="45" t="s">
        <v>174</v>
      </c>
      <c r="D523" s="30"/>
      <c r="E523" s="67" t="s">
        <v>435</v>
      </c>
      <c r="F523" s="57">
        <f>32.4+163.3+40</f>
        <v>235.70000000000002</v>
      </c>
      <c r="G523" s="42">
        <f>7.7+39.2+9.6</f>
        <v>56.500000000000007</v>
      </c>
      <c r="H523" s="42">
        <f>0.5+0.2</f>
        <v>0.7</v>
      </c>
      <c r="I523" s="42">
        <v>0</v>
      </c>
      <c r="J523" s="42">
        <f>1.8+7.1+1.8</f>
        <v>10.700000000000001</v>
      </c>
      <c r="K523" s="42">
        <f>1.6+1.8</f>
        <v>3.4000000000000004</v>
      </c>
      <c r="L523" s="42">
        <f>0.2+1.5+0.4</f>
        <v>2.1</v>
      </c>
      <c r="M523" s="42">
        <v>0.1</v>
      </c>
      <c r="N523" s="62" t="s">
        <v>337</v>
      </c>
    </row>
    <row r="524" spans="1:14" ht="20.100000000000001" customHeight="1">
      <c r="A524" s="163"/>
      <c r="B524" s="19">
        <v>0</v>
      </c>
      <c r="C524" s="38" t="str">
        <f>$C$10</f>
        <v>Sobremesa</v>
      </c>
      <c r="D524" s="30"/>
      <c r="E524" s="67" t="s">
        <v>402</v>
      </c>
      <c r="F524" s="42" t="s">
        <v>621</v>
      </c>
      <c r="G524" s="58" t="s">
        <v>622</v>
      </c>
      <c r="H524" s="58" t="s">
        <v>623</v>
      </c>
      <c r="I524" s="58" t="s">
        <v>624</v>
      </c>
      <c r="J524" s="58" t="s">
        <v>625</v>
      </c>
      <c r="K524" s="58" t="s">
        <v>626</v>
      </c>
      <c r="L524" s="58" t="s">
        <v>627</v>
      </c>
      <c r="M524" s="58" t="s">
        <v>628</v>
      </c>
      <c r="N524" s="17" t="s">
        <v>337</v>
      </c>
    </row>
    <row r="525" spans="1:14" ht="20.100000000000001" customHeight="1">
      <c r="A525" s="163"/>
      <c r="B525" s="28">
        <v>0</v>
      </c>
      <c r="C525" s="38" t="str">
        <f>$C$11</f>
        <v>Pão</v>
      </c>
      <c r="D525" s="30"/>
      <c r="E525" s="68" t="s">
        <v>297</v>
      </c>
      <c r="F525" s="156" t="s">
        <v>377</v>
      </c>
      <c r="G525" s="157"/>
      <c r="H525" s="157"/>
      <c r="I525" s="157"/>
      <c r="J525" s="157"/>
      <c r="K525" s="157"/>
      <c r="L525" s="157"/>
      <c r="M525" s="158"/>
      <c r="N525" s="62"/>
    </row>
    <row r="526" spans="1:14" ht="20.100000000000001" customHeight="1">
      <c r="A526" s="32"/>
      <c r="B526" s="19">
        <v>0</v>
      </c>
      <c r="C526" s="33"/>
      <c r="D526" s="30"/>
      <c r="E526" s="69"/>
      <c r="F526" s="34"/>
      <c r="G526" s="34"/>
      <c r="H526" s="34"/>
      <c r="I526" s="34"/>
      <c r="J526" s="34"/>
      <c r="K526" s="34"/>
      <c r="L526" s="34"/>
      <c r="M526" s="34"/>
      <c r="N526" s="4"/>
    </row>
    <row r="527" spans="1:14" ht="31.5" customHeight="1" thickBot="1">
      <c r="A527" s="35"/>
      <c r="B527" s="28">
        <v>0</v>
      </c>
      <c r="C527" s="36"/>
      <c r="D527" s="30"/>
      <c r="F527" s="41" t="s">
        <v>370</v>
      </c>
      <c r="G527" s="41" t="s">
        <v>371</v>
      </c>
      <c r="H527" s="41" t="s">
        <v>372</v>
      </c>
      <c r="I527" s="41" t="s">
        <v>373</v>
      </c>
      <c r="J527" s="41" t="s">
        <v>374</v>
      </c>
      <c r="K527" s="41" t="s">
        <v>602</v>
      </c>
      <c r="L527" s="41" t="s">
        <v>603</v>
      </c>
      <c r="M527" s="41" t="s">
        <v>376</v>
      </c>
      <c r="N527" s="13"/>
    </row>
    <row r="528" spans="1:14" ht="33.75" customHeight="1" thickTop="1">
      <c r="A528" s="159" t="s">
        <v>294</v>
      </c>
      <c r="B528" s="19">
        <v>0</v>
      </c>
      <c r="C528" s="37" t="str">
        <f>$C$7</f>
        <v>Sopa</v>
      </c>
      <c r="D528" s="30"/>
      <c r="E528" s="74" t="s">
        <v>431</v>
      </c>
      <c r="F528" s="42">
        <v>260.60000000000002</v>
      </c>
      <c r="G528" s="42">
        <v>62.3</v>
      </c>
      <c r="H528" s="42">
        <v>3.5</v>
      </c>
      <c r="I528" s="42">
        <v>0.6</v>
      </c>
      <c r="J528" s="42">
        <v>6.1</v>
      </c>
      <c r="K528" s="42">
        <v>5.3</v>
      </c>
      <c r="L528" s="42">
        <v>2</v>
      </c>
      <c r="M528" s="42">
        <v>0.2</v>
      </c>
      <c r="N528" s="17" t="s">
        <v>337</v>
      </c>
    </row>
    <row r="529" spans="1:14" ht="40.5" customHeight="1">
      <c r="A529" s="163"/>
      <c r="B529" s="28">
        <v>0</v>
      </c>
      <c r="C529" s="45" t="s">
        <v>290</v>
      </c>
      <c r="D529" s="30"/>
      <c r="E529" s="74" t="s">
        <v>230</v>
      </c>
      <c r="F529" s="42">
        <f>40.5+52+589.9+1007.1</f>
        <v>1689.5</v>
      </c>
      <c r="G529" s="42">
        <f>141+9.7+12.4+240.7</f>
        <v>403.79999999999995</v>
      </c>
      <c r="H529" s="42">
        <f>2.4+0.2</f>
        <v>2.6</v>
      </c>
      <c r="I529" s="42">
        <f>0.3+0.1</f>
        <v>0.4</v>
      </c>
      <c r="J529" s="42">
        <f>2.2+51.8+1.9</f>
        <v>55.9</v>
      </c>
      <c r="K529" s="42">
        <f>3.5+3.2</f>
        <v>6.7</v>
      </c>
      <c r="L529" s="42">
        <f>29.9+1.3+6.8</f>
        <v>38</v>
      </c>
      <c r="M529" s="42">
        <v>0.8</v>
      </c>
      <c r="N529" s="17" t="s">
        <v>337</v>
      </c>
    </row>
    <row r="530" spans="1:14" ht="20.100000000000001" customHeight="1">
      <c r="A530" s="163"/>
      <c r="B530" s="19">
        <v>0</v>
      </c>
      <c r="C530" s="45" t="s">
        <v>174</v>
      </c>
      <c r="D530" s="30"/>
      <c r="E530" s="67" t="s">
        <v>428</v>
      </c>
      <c r="F530" s="42">
        <f>20+30+25.6</f>
        <v>75.599999999999994</v>
      </c>
      <c r="G530" s="42">
        <f>4.8+7.2+6.1</f>
        <v>18.100000000000001</v>
      </c>
      <c r="H530" s="42">
        <f>0.1+0.2</f>
        <v>0.30000000000000004</v>
      </c>
      <c r="I530" s="42">
        <v>0.1</v>
      </c>
      <c r="J530" s="42">
        <f>0.3+1.4+0.6</f>
        <v>2.2999999999999998</v>
      </c>
      <c r="K530" s="42">
        <f>0.3+1.4+0.6</f>
        <v>2.2999999999999998</v>
      </c>
      <c r="L530" s="42">
        <f>0.7+0.4+0.5</f>
        <v>1.6</v>
      </c>
      <c r="M530" s="42">
        <v>0.1</v>
      </c>
      <c r="N530" s="62" t="s">
        <v>337</v>
      </c>
    </row>
    <row r="531" spans="1:14" ht="20.100000000000001" customHeight="1">
      <c r="A531" s="163"/>
      <c r="B531" s="28">
        <v>0</v>
      </c>
      <c r="C531" s="38" t="str">
        <f>$C$10</f>
        <v>Sobremesa</v>
      </c>
      <c r="D531" s="30"/>
      <c r="E531" s="67" t="s">
        <v>310</v>
      </c>
      <c r="F531" s="42">
        <v>319.7</v>
      </c>
      <c r="G531" s="58">
        <v>76.400000000000006</v>
      </c>
      <c r="H531" s="58">
        <v>0.5</v>
      </c>
      <c r="I531" s="58">
        <v>0.2</v>
      </c>
      <c r="J531" s="58">
        <v>16.899999999999999</v>
      </c>
      <c r="K531" s="58">
        <v>16.7</v>
      </c>
      <c r="L531" s="58">
        <v>1.1000000000000001</v>
      </c>
      <c r="M531" s="58">
        <v>0</v>
      </c>
      <c r="N531" s="17" t="s">
        <v>337</v>
      </c>
    </row>
    <row r="532" spans="1:14" ht="20.100000000000001" customHeight="1">
      <c r="A532" s="163"/>
      <c r="B532" s="19">
        <v>0</v>
      </c>
      <c r="C532" s="38" t="str">
        <f>$C$11</f>
        <v>Pão</v>
      </c>
      <c r="D532" s="30"/>
      <c r="E532" s="68" t="s">
        <v>297</v>
      </c>
      <c r="F532" s="156" t="s">
        <v>377</v>
      </c>
      <c r="G532" s="157"/>
      <c r="H532" s="157"/>
      <c r="I532" s="157"/>
      <c r="J532" s="157"/>
      <c r="K532" s="157"/>
      <c r="L532" s="157"/>
      <c r="M532" s="158"/>
      <c r="N532" s="62"/>
    </row>
    <row r="533" spans="1:14" ht="20.100000000000001" customHeight="1">
      <c r="A533" s="32"/>
      <c r="B533" s="28">
        <v>0</v>
      </c>
      <c r="C533" s="33"/>
      <c r="D533" s="30"/>
      <c r="E533" s="69"/>
      <c r="F533" s="34"/>
      <c r="G533" s="34"/>
      <c r="H533" s="34"/>
      <c r="I533" s="34"/>
      <c r="J533" s="34"/>
      <c r="K533" s="34"/>
      <c r="L533" s="34"/>
      <c r="M533" s="34"/>
      <c r="N533" s="4"/>
    </row>
    <row r="534" spans="1:14" ht="20.100000000000001" customHeight="1" thickBot="1">
      <c r="A534" s="35"/>
      <c r="B534" s="19">
        <v>0</v>
      </c>
      <c r="C534" s="36"/>
      <c r="D534" s="30"/>
      <c r="E534" s="66"/>
      <c r="F534" s="41" t="s">
        <v>370</v>
      </c>
      <c r="G534" s="41" t="s">
        <v>371</v>
      </c>
      <c r="H534" s="41" t="s">
        <v>372</v>
      </c>
      <c r="I534" s="41" t="s">
        <v>373</v>
      </c>
      <c r="J534" s="41" t="s">
        <v>374</v>
      </c>
      <c r="K534" s="41" t="s">
        <v>602</v>
      </c>
      <c r="L534" s="41" t="s">
        <v>603</v>
      </c>
      <c r="M534" s="41" t="s">
        <v>376</v>
      </c>
      <c r="N534" s="13"/>
    </row>
    <row r="535" spans="1:14" ht="34.5" customHeight="1" thickTop="1">
      <c r="A535" s="159" t="s">
        <v>295</v>
      </c>
      <c r="B535" s="28">
        <v>0</v>
      </c>
      <c r="C535" s="37" t="str">
        <f>$C$7</f>
        <v>Sopa</v>
      </c>
      <c r="D535" s="30"/>
      <c r="E535" s="74" t="s">
        <v>231</v>
      </c>
      <c r="F535" s="42">
        <v>430.3</v>
      </c>
      <c r="G535" s="42">
        <v>102.8</v>
      </c>
      <c r="H535" s="42">
        <v>3.3</v>
      </c>
      <c r="I535" s="42">
        <v>0.5</v>
      </c>
      <c r="J535" s="42">
        <v>15.6</v>
      </c>
      <c r="K535" s="42">
        <v>4.4000000000000004</v>
      </c>
      <c r="L535" s="42">
        <v>2.5</v>
      </c>
      <c r="M535" s="42">
        <v>0.2</v>
      </c>
      <c r="N535" s="17" t="s">
        <v>337</v>
      </c>
    </row>
    <row r="536" spans="1:14" ht="20.100000000000001" customHeight="1">
      <c r="A536" s="163"/>
      <c r="B536" s="19">
        <v>0</v>
      </c>
      <c r="C536" s="45" t="s">
        <v>290</v>
      </c>
      <c r="D536" s="30"/>
      <c r="E536" s="74" t="s">
        <v>232</v>
      </c>
      <c r="F536" s="42">
        <f>970.2+1093.7</f>
        <v>2063.9</v>
      </c>
      <c r="G536" s="42">
        <f>231.9+261.4</f>
        <v>493.29999999999995</v>
      </c>
      <c r="H536" s="42">
        <f>2.9+3.5</f>
        <v>6.4</v>
      </c>
      <c r="I536" s="42">
        <v>1.2</v>
      </c>
      <c r="J536" s="42">
        <v>50.6</v>
      </c>
      <c r="K536" s="42">
        <v>0.4</v>
      </c>
      <c r="L536" s="42">
        <f>51.5+5.4</f>
        <v>56.9</v>
      </c>
      <c r="M536" s="42">
        <v>0.5</v>
      </c>
      <c r="N536" s="17" t="s">
        <v>337</v>
      </c>
    </row>
    <row r="537" spans="1:14" ht="20.100000000000001" customHeight="1">
      <c r="A537" s="163"/>
      <c r="B537" s="28">
        <v>0</v>
      </c>
      <c r="C537" s="45" t="s">
        <v>174</v>
      </c>
      <c r="D537" s="30"/>
      <c r="E537" s="67" t="s">
        <v>414</v>
      </c>
      <c r="F537" s="42">
        <f>20+32.4+28.5</f>
        <v>80.900000000000006</v>
      </c>
      <c r="G537" s="42">
        <f>4.8+7.7+6.8</f>
        <v>19.3</v>
      </c>
      <c r="H537" s="42">
        <v>0.1</v>
      </c>
      <c r="I537" s="42">
        <v>0</v>
      </c>
      <c r="J537" s="42">
        <f>0.3+1.8+1.2</f>
        <v>3.3</v>
      </c>
      <c r="K537" s="42">
        <f>7.3+1.6+1</f>
        <v>9.9</v>
      </c>
      <c r="L537" s="42">
        <f>0.7+0.2+0.6</f>
        <v>1.5</v>
      </c>
      <c r="M537" s="42">
        <v>0.1</v>
      </c>
      <c r="N537" s="62" t="s">
        <v>337</v>
      </c>
    </row>
    <row r="538" spans="1:14" ht="20.100000000000001" customHeight="1">
      <c r="A538" s="163"/>
      <c r="B538" s="19">
        <v>0</v>
      </c>
      <c r="C538" s="38" t="str">
        <f>$C$10</f>
        <v>Sobremesa</v>
      </c>
      <c r="D538" s="30"/>
      <c r="E538" s="67" t="s">
        <v>310</v>
      </c>
      <c r="F538" s="42">
        <v>319.7</v>
      </c>
      <c r="G538" s="58">
        <v>76.400000000000006</v>
      </c>
      <c r="H538" s="58">
        <v>0.5</v>
      </c>
      <c r="I538" s="58">
        <v>0.2</v>
      </c>
      <c r="J538" s="58">
        <v>16.899999999999999</v>
      </c>
      <c r="K538" s="58">
        <v>16.7</v>
      </c>
      <c r="L538" s="58">
        <v>1.1000000000000001</v>
      </c>
      <c r="M538" s="58">
        <v>0</v>
      </c>
      <c r="N538" s="17" t="s">
        <v>337</v>
      </c>
    </row>
    <row r="539" spans="1:14" ht="20.100000000000001" customHeight="1">
      <c r="A539" s="163"/>
      <c r="B539" s="28">
        <v>0</v>
      </c>
      <c r="C539" s="38" t="str">
        <f>$C$11</f>
        <v>Pão</v>
      </c>
      <c r="D539" s="30"/>
      <c r="E539" s="68" t="s">
        <v>297</v>
      </c>
      <c r="F539" s="156" t="s">
        <v>377</v>
      </c>
      <c r="G539" s="157"/>
      <c r="H539" s="157"/>
      <c r="I539" s="157"/>
      <c r="J539" s="157"/>
      <c r="K539" s="157"/>
      <c r="L539" s="157"/>
      <c r="M539" s="158"/>
      <c r="N539" s="62"/>
    </row>
    <row r="540" spans="1:14" ht="20.100000000000001" customHeight="1">
      <c r="A540" s="32"/>
      <c r="B540" s="19">
        <v>0</v>
      </c>
      <c r="C540" s="33"/>
      <c r="D540" s="30"/>
      <c r="E540" s="69"/>
      <c r="F540" s="34"/>
      <c r="G540" s="34"/>
      <c r="H540" s="34"/>
      <c r="I540" s="34"/>
      <c r="J540" s="34"/>
      <c r="K540" s="34"/>
      <c r="L540" s="34"/>
      <c r="M540" s="34"/>
      <c r="N540" s="4"/>
    </row>
    <row r="541" spans="1:14" ht="20.100000000000001" customHeight="1" thickBot="1">
      <c r="A541" s="35"/>
      <c r="B541" s="28">
        <v>0</v>
      </c>
      <c r="C541" s="36"/>
      <c r="D541" s="30"/>
      <c r="E541" s="66"/>
      <c r="F541" s="41" t="s">
        <v>370</v>
      </c>
      <c r="G541" s="41" t="s">
        <v>371</v>
      </c>
      <c r="H541" s="41" t="s">
        <v>372</v>
      </c>
      <c r="I541" s="41" t="s">
        <v>373</v>
      </c>
      <c r="J541" s="41" t="s">
        <v>374</v>
      </c>
      <c r="K541" s="41" t="s">
        <v>602</v>
      </c>
      <c r="L541" s="41" t="s">
        <v>603</v>
      </c>
      <c r="M541" s="41" t="s">
        <v>376</v>
      </c>
      <c r="N541" s="13"/>
    </row>
    <row r="542" spans="1:14" ht="22.5" customHeight="1" thickTop="1">
      <c r="A542" s="159" t="s">
        <v>296</v>
      </c>
      <c r="B542" s="19">
        <v>0</v>
      </c>
      <c r="C542" s="37" t="str">
        <f>$C$7</f>
        <v>Sopa</v>
      </c>
      <c r="D542" s="30"/>
      <c r="E542" s="67"/>
      <c r="F542" s="42"/>
      <c r="G542" s="42"/>
      <c r="H542" s="42"/>
      <c r="I542" s="42"/>
      <c r="J542" s="42"/>
      <c r="K542" s="42"/>
      <c r="L542" s="42"/>
      <c r="M542" s="42"/>
      <c r="N542" s="17" t="s">
        <v>337</v>
      </c>
    </row>
    <row r="543" spans="1:14" ht="20.100000000000001" customHeight="1">
      <c r="A543" s="163"/>
      <c r="B543" s="28">
        <v>0</v>
      </c>
      <c r="C543" s="45" t="s">
        <v>290</v>
      </c>
      <c r="D543" s="30"/>
      <c r="E543" s="75" t="s">
        <v>196</v>
      </c>
      <c r="F543" s="42"/>
      <c r="G543" s="42"/>
      <c r="H543" s="42"/>
      <c r="I543" s="42"/>
      <c r="J543" s="42"/>
      <c r="K543" s="42"/>
      <c r="L543" s="42"/>
      <c r="M543" s="42"/>
      <c r="N543" s="17" t="s">
        <v>337</v>
      </c>
    </row>
    <row r="544" spans="1:14" ht="20.100000000000001" customHeight="1">
      <c r="A544" s="163"/>
      <c r="B544" s="19">
        <v>0</v>
      </c>
      <c r="C544" s="45" t="s">
        <v>174</v>
      </c>
      <c r="D544" s="30"/>
      <c r="E544" s="67"/>
      <c r="F544" s="42"/>
      <c r="G544" s="42"/>
      <c r="H544" s="42"/>
      <c r="I544" s="42"/>
      <c r="J544" s="42"/>
      <c r="K544" s="42"/>
      <c r="L544" s="42"/>
      <c r="M544" s="42"/>
      <c r="N544" s="62" t="s">
        <v>337</v>
      </c>
    </row>
    <row r="545" spans="1:14" ht="19.5" customHeight="1">
      <c r="A545" s="163"/>
      <c r="B545" s="28">
        <v>0</v>
      </c>
      <c r="C545" s="38" t="str">
        <f>$C$10</f>
        <v>Sobremesa</v>
      </c>
      <c r="D545" s="30"/>
      <c r="E545" s="67"/>
      <c r="F545" s="42"/>
      <c r="G545" s="42"/>
      <c r="H545" s="42"/>
      <c r="I545" s="42"/>
      <c r="J545" s="42"/>
      <c r="K545" s="42"/>
      <c r="L545" s="42"/>
      <c r="M545" s="42"/>
      <c r="N545" s="17" t="s">
        <v>337</v>
      </c>
    </row>
    <row r="546" spans="1:14" ht="22.5" customHeight="1">
      <c r="A546" s="163"/>
      <c r="B546" s="19">
        <v>0</v>
      </c>
      <c r="C546" s="38" t="str">
        <f>$C$11</f>
        <v>Pão</v>
      </c>
      <c r="D546" s="30"/>
      <c r="E546" s="68"/>
      <c r="F546" s="156" t="s">
        <v>377</v>
      </c>
      <c r="G546" s="157"/>
      <c r="H546" s="157"/>
      <c r="I546" s="157"/>
      <c r="J546" s="157"/>
      <c r="K546" s="157"/>
      <c r="L546" s="157"/>
      <c r="M546" s="158"/>
      <c r="N546" s="62"/>
    </row>
    <row r="547" spans="1:14" ht="122.25" customHeight="1">
      <c r="A547" s="167" t="str">
        <f>+A$40</f>
        <v xml:space="preserve">
A sua refeição contém ou pode conter as seguintes substâncias ou produtos e seus derivados: 1Cereais que contêm glúten, 2Crustáceos , 3Ovos, 4Peixes, 5Amendoins, 6Soja, 7Leite, 8Frutos de casca rija, 9Aipo, 10Mostarda, 11Sementes de sésamo, 12Dióxido de enxofre e sulfitos, 13Tremoço, 14Moluscos. 
Para quem não é alérgico ou intolerante, estas substâncias ou produtos são completamente inofensivas. 
Caso necessite informação adicional sobre os produtos em causa deve solicitar aos funcionários.
Declaração nutricional: valores médios de 100 g ou 100 ml, calculados a partir dos valores médios conhecidos dos ingredientes utilizados, segundo o Instituto Nacional de Saúde Dr. Ricardo Jorge, Tabela da Composição de Alimentos (2007), e a informação disponibilizada pelos fornecedores.
Legenda: VE - Valor energético, Líp. - Lípidos, AG Sat. - Ácidos Gordos Saturados, HC - Hidratos de Carbono, Prot. - Proteínas.
</v>
      </c>
      <c r="B547" s="168"/>
      <c r="C547" s="168"/>
      <c r="D547" s="168"/>
      <c r="E547" s="168"/>
      <c r="F547" s="168"/>
      <c r="G547" s="168"/>
      <c r="H547" s="168"/>
      <c r="I547" s="168"/>
      <c r="J547" s="168"/>
      <c r="K547" s="168"/>
      <c r="L547" s="168"/>
      <c r="M547" s="168"/>
      <c r="N547" s="5"/>
    </row>
    <row r="548" spans="1:14" ht="39.950000000000003" customHeight="1">
      <c r="B548" s="28">
        <v>0</v>
      </c>
      <c r="C548" s="61" t="s">
        <v>194</v>
      </c>
      <c r="D548" s="26"/>
      <c r="E548" s="70" t="s">
        <v>193</v>
      </c>
      <c r="F548" s="39"/>
      <c r="G548" s="39"/>
      <c r="H548" s="39"/>
      <c r="I548" s="39"/>
      <c r="J548" s="39"/>
      <c r="K548" s="39"/>
      <c r="L548" s="39"/>
      <c r="M548" s="39"/>
      <c r="N548" s="1"/>
    </row>
    <row r="549" spans="1:14" ht="20.100000000000001" customHeight="1" thickBot="1">
      <c r="B549" s="19">
        <v>0</v>
      </c>
      <c r="E549" s="66"/>
      <c r="F549" s="41" t="s">
        <v>370</v>
      </c>
      <c r="G549" s="41" t="s">
        <v>371</v>
      </c>
      <c r="H549" s="41" t="s">
        <v>372</v>
      </c>
      <c r="I549" s="41" t="s">
        <v>373</v>
      </c>
      <c r="J549" s="41" t="s">
        <v>374</v>
      </c>
      <c r="K549" s="41" t="s">
        <v>602</v>
      </c>
      <c r="L549" s="41" t="s">
        <v>603</v>
      </c>
      <c r="M549" s="41" t="s">
        <v>376</v>
      </c>
      <c r="N549" s="3"/>
    </row>
    <row r="550" spans="1:14" ht="20.25" customHeight="1" thickTop="1">
      <c r="A550" s="159" t="s">
        <v>288</v>
      </c>
      <c r="B550" s="19">
        <v>0</v>
      </c>
      <c r="C550" s="29" t="s">
        <v>289</v>
      </c>
      <c r="D550" s="30"/>
      <c r="E550" s="67" t="s">
        <v>417</v>
      </c>
      <c r="F550" s="42">
        <v>569.1</v>
      </c>
      <c r="G550" s="42">
        <v>136</v>
      </c>
      <c r="H550" s="42">
        <v>3.8</v>
      </c>
      <c r="I550" s="42">
        <v>0.7</v>
      </c>
      <c r="J550" s="42">
        <v>20.399999999999999</v>
      </c>
      <c r="K550" s="42">
        <v>5.9</v>
      </c>
      <c r="L550" s="42">
        <v>4.8</v>
      </c>
      <c r="M550" s="42">
        <v>0.2</v>
      </c>
      <c r="N550" s="17" t="s">
        <v>337</v>
      </c>
    </row>
    <row r="551" spans="1:14" ht="20.100000000000001" customHeight="1">
      <c r="A551" s="163"/>
      <c r="B551" s="28">
        <v>0</v>
      </c>
      <c r="C551" s="45" t="s">
        <v>290</v>
      </c>
      <c r="D551" s="30"/>
      <c r="E551" s="74" t="s">
        <v>234</v>
      </c>
      <c r="F551" s="42">
        <f>1039.4+1198.4</f>
        <v>2237.8000000000002</v>
      </c>
      <c r="G551" s="42">
        <f>248.3+286.4</f>
        <v>534.70000000000005</v>
      </c>
      <c r="H551" s="42">
        <f>15.4+1.5</f>
        <v>16.899999999999999</v>
      </c>
      <c r="I551" s="42">
        <f>5.4+0.3</f>
        <v>5.7</v>
      </c>
      <c r="J551" s="42">
        <f>8.7+56.9</f>
        <v>65.599999999999994</v>
      </c>
      <c r="K551" s="42">
        <f>2.6+2.5</f>
        <v>5.0999999999999996</v>
      </c>
      <c r="L551" s="42">
        <f>18.5+9.7</f>
        <v>28.2</v>
      </c>
      <c r="M551" s="42">
        <v>0.1</v>
      </c>
      <c r="N551" s="17" t="s">
        <v>337</v>
      </c>
    </row>
    <row r="552" spans="1:14" ht="20.100000000000001" customHeight="1">
      <c r="A552" s="163"/>
      <c r="B552" s="19">
        <v>0</v>
      </c>
      <c r="C552" s="45" t="s">
        <v>174</v>
      </c>
      <c r="D552" s="30"/>
      <c r="E552" s="67" t="s">
        <v>233</v>
      </c>
      <c r="F552" s="42">
        <f>28.5+23+40</f>
        <v>91.5</v>
      </c>
      <c r="G552" s="42">
        <f>6.8+5.5+9.6</f>
        <v>21.9</v>
      </c>
      <c r="H552" s="42">
        <v>0.4</v>
      </c>
      <c r="I552" s="42">
        <v>0</v>
      </c>
      <c r="J552" s="42">
        <f>1.2+0.7+1.8</f>
        <v>3.7</v>
      </c>
      <c r="K552" s="42">
        <f>1+0.6+1.8</f>
        <v>3.4000000000000004</v>
      </c>
      <c r="L552" s="42">
        <f>0.6+0.4+0.4</f>
        <v>1.4</v>
      </c>
      <c r="M552" s="42">
        <v>0</v>
      </c>
      <c r="N552" s="62" t="s">
        <v>337</v>
      </c>
    </row>
    <row r="553" spans="1:14" ht="20.100000000000001" customHeight="1">
      <c r="A553" s="163"/>
      <c r="B553" s="28">
        <v>0</v>
      </c>
      <c r="C553" s="31" t="s">
        <v>291</v>
      </c>
      <c r="D553" s="30"/>
      <c r="E553" s="67" t="s">
        <v>310</v>
      </c>
      <c r="F553" s="42">
        <v>319.7</v>
      </c>
      <c r="G553" s="58">
        <v>76.400000000000006</v>
      </c>
      <c r="H553" s="58">
        <v>0.5</v>
      </c>
      <c r="I553" s="58">
        <v>0.2</v>
      </c>
      <c r="J553" s="58">
        <v>16.899999999999999</v>
      </c>
      <c r="K553" s="58">
        <v>16.7</v>
      </c>
      <c r="L553" s="58">
        <v>1.1000000000000001</v>
      </c>
      <c r="M553" s="58">
        <v>0</v>
      </c>
      <c r="N553" s="17" t="s">
        <v>337</v>
      </c>
    </row>
    <row r="554" spans="1:14" ht="20.100000000000001" customHeight="1">
      <c r="A554" s="163"/>
      <c r="B554" s="19">
        <v>0</v>
      </c>
      <c r="C554" s="31" t="s">
        <v>292</v>
      </c>
      <c r="D554" s="30"/>
      <c r="E554" s="68" t="s">
        <v>297</v>
      </c>
      <c r="F554" s="156" t="s">
        <v>377</v>
      </c>
      <c r="G554" s="157"/>
      <c r="H554" s="157"/>
      <c r="I554" s="157"/>
      <c r="J554" s="157"/>
      <c r="K554" s="157"/>
      <c r="L554" s="157"/>
      <c r="M554" s="158"/>
      <c r="N554" s="62"/>
    </row>
    <row r="555" spans="1:14" ht="20.100000000000001" customHeight="1">
      <c r="A555" s="32"/>
      <c r="B555" s="28">
        <v>0</v>
      </c>
      <c r="C555" s="33"/>
      <c r="D555" s="30"/>
      <c r="E555" s="69"/>
      <c r="F555" s="34"/>
      <c r="G555" s="34"/>
      <c r="H555" s="34"/>
      <c r="I555" s="34"/>
      <c r="J555" s="34"/>
      <c r="K555" s="34"/>
      <c r="L555" s="34"/>
      <c r="M555" s="34"/>
      <c r="N555" s="4"/>
    </row>
    <row r="556" spans="1:14" ht="20.100000000000001" customHeight="1" thickBot="1">
      <c r="A556" s="35"/>
      <c r="B556" s="19">
        <v>0</v>
      </c>
      <c r="C556" s="36"/>
      <c r="D556" s="30"/>
      <c r="E556" s="66"/>
      <c r="F556" s="41" t="s">
        <v>370</v>
      </c>
      <c r="G556" s="41" t="s">
        <v>371</v>
      </c>
      <c r="H556" s="41" t="s">
        <v>372</v>
      </c>
      <c r="I556" s="41" t="s">
        <v>373</v>
      </c>
      <c r="J556" s="41" t="s">
        <v>374</v>
      </c>
      <c r="K556" s="41" t="s">
        <v>602</v>
      </c>
      <c r="L556" s="41" t="s">
        <v>603</v>
      </c>
      <c r="M556" s="41" t="s">
        <v>376</v>
      </c>
      <c r="N556" s="13"/>
    </row>
    <row r="557" spans="1:14" ht="24" customHeight="1" thickTop="1">
      <c r="A557" s="159" t="s">
        <v>293</v>
      </c>
      <c r="B557" s="28">
        <v>0</v>
      </c>
      <c r="C557" s="37" t="str">
        <f>$C$7</f>
        <v>Sopa</v>
      </c>
      <c r="D557" s="30"/>
      <c r="E557" s="74" t="s">
        <v>604</v>
      </c>
      <c r="F557" s="42">
        <v>949.1</v>
      </c>
      <c r="G557" s="42">
        <v>226.8</v>
      </c>
      <c r="H557" s="42">
        <v>5.0999999999999996</v>
      </c>
      <c r="I557" s="42">
        <v>0.6</v>
      </c>
      <c r="J557" s="42">
        <v>34.799999999999997</v>
      </c>
      <c r="K557" s="42">
        <v>4.2</v>
      </c>
      <c r="L557" s="42">
        <v>9.6</v>
      </c>
      <c r="M557" s="42">
        <v>0.2</v>
      </c>
      <c r="N557" s="17" t="s">
        <v>337</v>
      </c>
    </row>
    <row r="558" spans="1:14" ht="21" customHeight="1">
      <c r="A558" s="163"/>
      <c r="B558" s="19">
        <v>0</v>
      </c>
      <c r="C558" s="45" t="s">
        <v>290</v>
      </c>
      <c r="D558" s="30"/>
      <c r="E558" s="74" t="s">
        <v>235</v>
      </c>
      <c r="F558" s="42">
        <f>40.5+52+1007.1+842.2</f>
        <v>1941.8</v>
      </c>
      <c r="G558" s="42">
        <f>9.7+12.4+240.7+201.3</f>
        <v>464.1</v>
      </c>
      <c r="H558" s="42">
        <v>8.1999999999999993</v>
      </c>
      <c r="I558" s="42">
        <v>1.4</v>
      </c>
      <c r="J558" s="42">
        <f>2.2+1.9+51.8+0.7</f>
        <v>56.6</v>
      </c>
      <c r="K558" s="42">
        <f>2.1+1.4+3.2+0.6</f>
        <v>7.3</v>
      </c>
      <c r="L558" s="42">
        <f>0.3+1+6.8+31.8</f>
        <v>39.9</v>
      </c>
      <c r="M558" s="42">
        <v>0.7</v>
      </c>
      <c r="N558" s="17" t="s">
        <v>337</v>
      </c>
    </row>
    <row r="559" spans="1:14" ht="20.100000000000001" customHeight="1">
      <c r="A559" s="163"/>
      <c r="B559" s="28">
        <v>0</v>
      </c>
      <c r="C559" s="45" t="s">
        <v>174</v>
      </c>
      <c r="D559" s="30"/>
      <c r="E559" s="67" t="s">
        <v>446</v>
      </c>
      <c r="F559" s="42">
        <f>20+32.4+163.3</f>
        <v>215.70000000000002</v>
      </c>
      <c r="G559" s="42">
        <f>4.8+7.7+39.2</f>
        <v>51.7</v>
      </c>
      <c r="H559" s="42">
        <v>0.6</v>
      </c>
      <c r="I559" s="42">
        <v>0</v>
      </c>
      <c r="J559" s="42">
        <f>0.3+1.8+7.1</f>
        <v>9.1999999999999993</v>
      </c>
      <c r="K559" s="42">
        <f>0.3+1.6</f>
        <v>1.9000000000000001</v>
      </c>
      <c r="L559" s="42">
        <f>0.7+0.2+1.5</f>
        <v>2.4</v>
      </c>
      <c r="M559" s="42">
        <v>0.1</v>
      </c>
      <c r="N559" s="62" t="s">
        <v>337</v>
      </c>
    </row>
    <row r="560" spans="1:14" ht="20.100000000000001" customHeight="1">
      <c r="A560" s="163"/>
      <c r="B560" s="19">
        <v>0</v>
      </c>
      <c r="C560" s="38" t="str">
        <f>$C$10</f>
        <v>Sobremesa</v>
      </c>
      <c r="D560" s="30"/>
      <c r="E560" s="67" t="s">
        <v>310</v>
      </c>
      <c r="F560" s="42">
        <v>319.7</v>
      </c>
      <c r="G560" s="58">
        <v>76.400000000000006</v>
      </c>
      <c r="H560" s="58">
        <v>0.5</v>
      </c>
      <c r="I560" s="58">
        <v>0.2</v>
      </c>
      <c r="J560" s="58">
        <v>16.899999999999999</v>
      </c>
      <c r="K560" s="58">
        <v>16.7</v>
      </c>
      <c r="L560" s="58">
        <v>1.1000000000000001</v>
      </c>
      <c r="M560" s="58">
        <v>0</v>
      </c>
      <c r="N560" s="17" t="s">
        <v>337</v>
      </c>
    </row>
    <row r="561" spans="1:14" ht="20.100000000000001" customHeight="1">
      <c r="A561" s="163"/>
      <c r="B561" s="28">
        <v>0</v>
      </c>
      <c r="C561" s="38" t="str">
        <f>$C$11</f>
        <v>Pão</v>
      </c>
      <c r="D561" s="30"/>
      <c r="E561" s="68" t="s">
        <v>297</v>
      </c>
      <c r="F561" s="156" t="s">
        <v>377</v>
      </c>
      <c r="G561" s="157"/>
      <c r="H561" s="157"/>
      <c r="I561" s="157"/>
      <c r="J561" s="157"/>
      <c r="K561" s="157"/>
      <c r="L561" s="157"/>
      <c r="M561" s="158"/>
      <c r="N561" s="62"/>
    </row>
    <row r="562" spans="1:14" ht="20.100000000000001" customHeight="1">
      <c r="A562" s="32"/>
      <c r="B562" s="19">
        <v>0</v>
      </c>
      <c r="C562" s="33"/>
      <c r="D562" s="30"/>
      <c r="E562" s="69"/>
      <c r="F562" s="34"/>
      <c r="G562" s="34"/>
      <c r="H562" s="34"/>
      <c r="I562" s="34"/>
      <c r="J562" s="34"/>
      <c r="K562" s="34"/>
      <c r="L562" s="34"/>
      <c r="M562" s="34"/>
      <c r="N562" s="4"/>
    </row>
    <row r="563" spans="1:14" ht="20.100000000000001" customHeight="1" thickBot="1">
      <c r="A563" s="35"/>
      <c r="B563" s="28">
        <v>0</v>
      </c>
      <c r="C563" s="36"/>
      <c r="D563" s="30"/>
      <c r="F563" s="41" t="s">
        <v>370</v>
      </c>
      <c r="G563" s="41" t="s">
        <v>371</v>
      </c>
      <c r="H563" s="41" t="s">
        <v>372</v>
      </c>
      <c r="I563" s="41" t="s">
        <v>373</v>
      </c>
      <c r="J563" s="41" t="s">
        <v>374</v>
      </c>
      <c r="K563" s="41" t="s">
        <v>602</v>
      </c>
      <c r="L563" s="41" t="s">
        <v>603</v>
      </c>
      <c r="M563" s="41" t="s">
        <v>376</v>
      </c>
      <c r="N563" s="13"/>
    </row>
    <row r="564" spans="1:14" ht="34.5" customHeight="1" thickTop="1">
      <c r="A564" s="159" t="s">
        <v>294</v>
      </c>
      <c r="B564" s="19">
        <v>0</v>
      </c>
      <c r="C564" s="37" t="str">
        <f>$C$7</f>
        <v>Sopa</v>
      </c>
      <c r="D564" s="30"/>
      <c r="E564" s="74" t="s">
        <v>236</v>
      </c>
      <c r="F564" s="42">
        <v>452.4</v>
      </c>
      <c r="G564" s="42">
        <v>108.3</v>
      </c>
      <c r="H564" s="42">
        <v>3.3</v>
      </c>
      <c r="I564" s="42">
        <v>0.5</v>
      </c>
      <c r="J564" s="42">
        <v>16.3</v>
      </c>
      <c r="K564" s="42">
        <v>4.8</v>
      </c>
      <c r="L564" s="42">
        <v>3.1</v>
      </c>
      <c r="M564" s="42">
        <v>0.2</v>
      </c>
      <c r="N564" s="17" t="s">
        <v>337</v>
      </c>
    </row>
    <row r="565" spans="1:14" ht="36" customHeight="1">
      <c r="A565" s="163"/>
      <c r="B565" s="28">
        <v>0</v>
      </c>
      <c r="C565" s="45" t="s">
        <v>290</v>
      </c>
      <c r="D565" s="30"/>
      <c r="E565" s="74" t="s">
        <v>237</v>
      </c>
      <c r="F565" s="42">
        <f>1093.7+1008.8</f>
        <v>2102.5</v>
      </c>
      <c r="G565" s="42">
        <f>241.1+261.4</f>
        <v>502.5</v>
      </c>
      <c r="H565" s="42">
        <f>4.4+3.5</f>
        <v>7.9</v>
      </c>
      <c r="I565" s="42">
        <f>1.1+0.5</f>
        <v>1.6</v>
      </c>
      <c r="J565" s="42">
        <v>50.6</v>
      </c>
      <c r="K565" s="42">
        <v>0.4</v>
      </c>
      <c r="L565" s="42">
        <f>50.4+5.4</f>
        <v>55.8</v>
      </c>
      <c r="M565" s="42">
        <f>0.1+0.5</f>
        <v>0.6</v>
      </c>
      <c r="N565" s="17" t="s">
        <v>337</v>
      </c>
    </row>
    <row r="566" spans="1:14" ht="20.100000000000001" customHeight="1">
      <c r="A566" s="163"/>
      <c r="B566" s="19">
        <v>0</v>
      </c>
      <c r="C566" s="45" t="s">
        <v>174</v>
      </c>
      <c r="D566" s="30"/>
      <c r="E566" s="67" t="s">
        <v>398</v>
      </c>
      <c r="F566" s="42">
        <f>20+25.6+40</f>
        <v>85.6</v>
      </c>
      <c r="G566" s="42">
        <f>4.8+6.1+9.6</f>
        <v>20.5</v>
      </c>
      <c r="H566" s="42">
        <f>0.1+0.2+0.2</f>
        <v>0.5</v>
      </c>
      <c r="I566" s="42">
        <v>0.1</v>
      </c>
      <c r="J566" s="42">
        <f>0.3+0.6+1.8</f>
        <v>2.7</v>
      </c>
      <c r="K566" s="42">
        <f>0.3+0.6+1.8</f>
        <v>2.7</v>
      </c>
      <c r="L566" s="42">
        <f>0.7+0.5+0.4</f>
        <v>1.6</v>
      </c>
      <c r="M566" s="42">
        <v>0</v>
      </c>
      <c r="N566" s="62" t="s">
        <v>337</v>
      </c>
    </row>
    <row r="567" spans="1:14" ht="20.100000000000001" customHeight="1">
      <c r="A567" s="163"/>
      <c r="B567" s="28">
        <v>0</v>
      </c>
      <c r="C567" s="38" t="str">
        <f>$C$10</f>
        <v>Sobremesa</v>
      </c>
      <c r="D567" s="30"/>
      <c r="E567" s="67" t="s">
        <v>262</v>
      </c>
      <c r="F567" s="42" t="s">
        <v>621</v>
      </c>
      <c r="G567" s="58" t="s">
        <v>622</v>
      </c>
      <c r="H567" s="58" t="s">
        <v>623</v>
      </c>
      <c r="I567" s="58" t="s">
        <v>624</v>
      </c>
      <c r="J567" s="58" t="s">
        <v>625</v>
      </c>
      <c r="K567" s="58" t="s">
        <v>626</v>
      </c>
      <c r="L567" s="58" t="s">
        <v>627</v>
      </c>
      <c r="M567" s="58" t="s">
        <v>628</v>
      </c>
      <c r="N567" s="17" t="s">
        <v>337</v>
      </c>
    </row>
    <row r="568" spans="1:14" ht="20.100000000000001" customHeight="1">
      <c r="A568" s="163"/>
      <c r="B568" s="19">
        <v>0</v>
      </c>
      <c r="C568" s="38" t="str">
        <f>$C$11</f>
        <v>Pão</v>
      </c>
      <c r="D568" s="30"/>
      <c r="E568" s="68" t="s">
        <v>297</v>
      </c>
      <c r="F568" s="156" t="s">
        <v>377</v>
      </c>
      <c r="G568" s="157"/>
      <c r="H568" s="157"/>
      <c r="I568" s="157"/>
      <c r="J568" s="157"/>
      <c r="K568" s="157"/>
      <c r="L568" s="157"/>
      <c r="M568" s="158"/>
      <c r="N568" s="62"/>
    </row>
    <row r="569" spans="1:14" ht="20.100000000000001" customHeight="1">
      <c r="A569" s="32"/>
      <c r="B569" s="28">
        <v>0</v>
      </c>
      <c r="C569" s="33"/>
      <c r="D569" s="30"/>
      <c r="E569" s="69"/>
      <c r="F569" s="34"/>
      <c r="G569" s="34"/>
      <c r="H569" s="34"/>
      <c r="I569" s="34"/>
      <c r="J569" s="34"/>
      <c r="K569" s="34"/>
      <c r="L569" s="34"/>
      <c r="M569" s="34"/>
      <c r="N569" s="4"/>
    </row>
    <row r="570" spans="1:14" ht="20.100000000000001" customHeight="1" thickBot="1">
      <c r="A570" s="35"/>
      <c r="B570" s="19">
        <v>0</v>
      </c>
      <c r="C570" s="36"/>
      <c r="D570" s="30"/>
      <c r="E570" s="66"/>
      <c r="F570" s="41" t="s">
        <v>370</v>
      </c>
      <c r="G570" s="41" t="s">
        <v>371</v>
      </c>
      <c r="H570" s="41" t="s">
        <v>372</v>
      </c>
      <c r="I570" s="41" t="s">
        <v>373</v>
      </c>
      <c r="J570" s="41" t="s">
        <v>374</v>
      </c>
      <c r="K570" s="41" t="s">
        <v>602</v>
      </c>
      <c r="L570" s="41" t="s">
        <v>603</v>
      </c>
      <c r="M570" s="41" t="s">
        <v>376</v>
      </c>
      <c r="N570" s="13"/>
    </row>
    <row r="571" spans="1:14" ht="25.5" customHeight="1" thickTop="1">
      <c r="A571" s="159" t="s">
        <v>295</v>
      </c>
      <c r="B571" s="28">
        <v>0</v>
      </c>
      <c r="C571" s="37" t="str">
        <f>$C$7</f>
        <v>Sopa</v>
      </c>
      <c r="D571" s="30"/>
      <c r="E571" s="74" t="s">
        <v>238</v>
      </c>
      <c r="F571" s="42">
        <v>899</v>
      </c>
      <c r="G571" s="42">
        <v>215.1</v>
      </c>
      <c r="H571" s="42">
        <v>3.9</v>
      </c>
      <c r="I571" s="42">
        <v>0.6</v>
      </c>
      <c r="J571" s="42">
        <v>32.4</v>
      </c>
      <c r="K571" s="42">
        <v>4.5999999999999996</v>
      </c>
      <c r="L571" s="42">
        <v>11.8</v>
      </c>
      <c r="M571" s="42">
        <v>0.2</v>
      </c>
      <c r="N571" s="17" t="s">
        <v>337</v>
      </c>
    </row>
    <row r="572" spans="1:14" ht="20.100000000000001" customHeight="1">
      <c r="A572" s="163"/>
      <c r="B572" s="19">
        <v>0</v>
      </c>
      <c r="C572" s="45" t="s">
        <v>290</v>
      </c>
      <c r="D572" s="30"/>
      <c r="E572" s="74" t="s">
        <v>239</v>
      </c>
      <c r="F572" s="42">
        <v>1977.4</v>
      </c>
      <c r="G572" s="42">
        <v>472.6</v>
      </c>
      <c r="H572" s="42">
        <v>7</v>
      </c>
      <c r="I572" s="42">
        <v>1.1000000000000001</v>
      </c>
      <c r="J572" s="42">
        <v>58.2</v>
      </c>
      <c r="K572" s="42">
        <v>3.1</v>
      </c>
      <c r="L572" s="42">
        <v>42.8</v>
      </c>
      <c r="M572" s="42">
        <v>0.8</v>
      </c>
      <c r="N572" s="17" t="s">
        <v>337</v>
      </c>
    </row>
    <row r="573" spans="1:14" ht="20.100000000000001" customHeight="1">
      <c r="A573" s="163"/>
      <c r="B573" s="28">
        <v>0</v>
      </c>
      <c r="C573" s="45" t="s">
        <v>174</v>
      </c>
      <c r="D573" s="30"/>
      <c r="E573" s="67" t="s">
        <v>421</v>
      </c>
      <c r="F573" s="42">
        <f>32.4+28.5+40</f>
        <v>100.9</v>
      </c>
      <c r="G573" s="42">
        <f>7.7+6.8+9.6</f>
        <v>24.1</v>
      </c>
      <c r="H573" s="42">
        <v>0.2</v>
      </c>
      <c r="I573" s="42">
        <v>0</v>
      </c>
      <c r="J573" s="42">
        <f>1.8+1.2+1.8</f>
        <v>4.8</v>
      </c>
      <c r="K573" s="42">
        <f>1.6+1+1.8</f>
        <v>4.4000000000000004</v>
      </c>
      <c r="L573" s="42">
        <f>0.2+0.6+0.4</f>
        <v>1.2000000000000002</v>
      </c>
      <c r="M573" s="42">
        <v>0.1</v>
      </c>
      <c r="N573" s="62" t="s">
        <v>337</v>
      </c>
    </row>
    <row r="574" spans="1:14" ht="20.100000000000001" customHeight="1">
      <c r="A574" s="163"/>
      <c r="B574" s="19">
        <v>0</v>
      </c>
      <c r="C574" s="38" t="str">
        <f>$C$10</f>
        <v>Sobremesa</v>
      </c>
      <c r="D574" s="30"/>
      <c r="E574" s="67" t="s">
        <v>310</v>
      </c>
      <c r="F574" s="42">
        <v>319.7</v>
      </c>
      <c r="G574" s="58">
        <v>76.400000000000006</v>
      </c>
      <c r="H574" s="58">
        <v>0.5</v>
      </c>
      <c r="I574" s="58">
        <v>0.2</v>
      </c>
      <c r="J574" s="58">
        <v>16.899999999999999</v>
      </c>
      <c r="K574" s="58">
        <v>16.7</v>
      </c>
      <c r="L574" s="58">
        <v>1.1000000000000001</v>
      </c>
      <c r="M574" s="58">
        <v>0</v>
      </c>
      <c r="N574" s="17" t="s">
        <v>337</v>
      </c>
    </row>
    <row r="575" spans="1:14" ht="20.100000000000001" customHeight="1">
      <c r="A575" s="163"/>
      <c r="B575" s="28">
        <v>0</v>
      </c>
      <c r="C575" s="38" t="str">
        <f>$C$11</f>
        <v>Pão</v>
      </c>
      <c r="D575" s="30"/>
      <c r="E575" s="68" t="s">
        <v>297</v>
      </c>
      <c r="F575" s="156" t="s">
        <v>377</v>
      </c>
      <c r="G575" s="157"/>
      <c r="H575" s="157"/>
      <c r="I575" s="157"/>
      <c r="J575" s="157"/>
      <c r="K575" s="157"/>
      <c r="L575" s="157"/>
      <c r="M575" s="158"/>
      <c r="N575" s="62"/>
    </row>
    <row r="576" spans="1:14" ht="20.100000000000001" customHeight="1">
      <c r="A576" s="32"/>
      <c r="B576" s="19">
        <v>0</v>
      </c>
      <c r="C576" s="33"/>
      <c r="D576" s="30"/>
      <c r="E576" s="69"/>
      <c r="F576" s="34"/>
      <c r="G576" s="34"/>
      <c r="H576" s="34"/>
      <c r="I576" s="34"/>
      <c r="J576" s="34"/>
      <c r="K576" s="34"/>
      <c r="L576" s="34"/>
      <c r="M576" s="34"/>
      <c r="N576" s="4"/>
    </row>
    <row r="577" spans="1:14" ht="20.100000000000001" customHeight="1" thickBot="1">
      <c r="A577" s="35"/>
      <c r="B577" s="28">
        <v>0</v>
      </c>
      <c r="C577" s="36"/>
      <c r="D577" s="30"/>
      <c r="E577" s="66"/>
      <c r="F577" s="41" t="s">
        <v>370</v>
      </c>
      <c r="G577" s="41" t="s">
        <v>371</v>
      </c>
      <c r="H577" s="41" t="s">
        <v>372</v>
      </c>
      <c r="I577" s="41" t="s">
        <v>373</v>
      </c>
      <c r="J577" s="41" t="s">
        <v>374</v>
      </c>
      <c r="K577" s="41" t="s">
        <v>602</v>
      </c>
      <c r="L577" s="41" t="s">
        <v>603</v>
      </c>
      <c r="M577" s="41" t="s">
        <v>376</v>
      </c>
      <c r="N577" s="13"/>
    </row>
    <row r="578" spans="1:14" ht="33" customHeight="1" thickTop="1">
      <c r="A578" s="159" t="s">
        <v>296</v>
      </c>
      <c r="B578" s="19">
        <v>0</v>
      </c>
      <c r="C578" s="37" t="str">
        <f>$C$7</f>
        <v>Sopa</v>
      </c>
      <c r="D578" s="30"/>
      <c r="E578" s="67" t="s">
        <v>240</v>
      </c>
      <c r="F578" s="42">
        <v>798.5</v>
      </c>
      <c r="G578" s="42">
        <v>190.8</v>
      </c>
      <c r="H578" s="42">
        <v>6.7</v>
      </c>
      <c r="I578" s="42">
        <v>1.7</v>
      </c>
      <c r="J578" s="42">
        <v>25.2</v>
      </c>
      <c r="K578" s="42">
        <v>3.2</v>
      </c>
      <c r="L578" s="42">
        <v>6.8</v>
      </c>
      <c r="M578" s="42">
        <v>0.7</v>
      </c>
      <c r="N578" s="17" t="s">
        <v>337</v>
      </c>
    </row>
    <row r="579" spans="1:14" ht="38.25" customHeight="1">
      <c r="A579" s="163"/>
      <c r="B579" s="28">
        <v>0</v>
      </c>
      <c r="C579" s="45" t="s">
        <v>290</v>
      </c>
      <c r="D579" s="30"/>
      <c r="E579" s="74" t="s">
        <v>241</v>
      </c>
      <c r="F579" s="42">
        <v>2397.1</v>
      </c>
      <c r="G579" s="42">
        <v>573</v>
      </c>
      <c r="H579" s="42">
        <v>8.6</v>
      </c>
      <c r="I579" s="42">
        <v>2.2000000000000002</v>
      </c>
      <c r="J579" s="42">
        <v>74.599999999999994</v>
      </c>
      <c r="K579" s="42">
        <v>3.6</v>
      </c>
      <c r="L579" s="42">
        <v>47.4</v>
      </c>
      <c r="M579" s="42">
        <v>0.5</v>
      </c>
      <c r="N579" s="17" t="s">
        <v>337</v>
      </c>
    </row>
    <row r="580" spans="1:14" ht="33" customHeight="1">
      <c r="A580" s="163"/>
      <c r="B580" s="19">
        <v>0</v>
      </c>
      <c r="C580" s="45" t="s">
        <v>174</v>
      </c>
      <c r="D580" s="30"/>
      <c r="E580" s="67" t="s">
        <v>381</v>
      </c>
      <c r="F580" s="42">
        <f>20+30+163.3</f>
        <v>213.3</v>
      </c>
      <c r="G580" s="42">
        <f>4.8+7.2+39.2</f>
        <v>51.2</v>
      </c>
      <c r="H580" s="42">
        <v>0.6</v>
      </c>
      <c r="I580" s="42">
        <v>0</v>
      </c>
      <c r="J580" s="42">
        <f>0.3+1.4+7.1</f>
        <v>8.7999999999999989</v>
      </c>
      <c r="K580" s="42">
        <f>0.3+1.4</f>
        <v>1.7</v>
      </c>
      <c r="L580" s="42">
        <f>0.7+0.4+1.5</f>
        <v>2.6</v>
      </c>
      <c r="M580" s="42">
        <v>0.1</v>
      </c>
      <c r="N580" s="62" t="s">
        <v>337</v>
      </c>
    </row>
    <row r="581" spans="1:14" ht="20.100000000000001" customHeight="1">
      <c r="A581" s="163"/>
      <c r="B581" s="28">
        <v>0</v>
      </c>
      <c r="C581" s="38" t="str">
        <f>$C$10</f>
        <v>Sobremesa</v>
      </c>
      <c r="D581" s="30"/>
      <c r="E581" s="67" t="s">
        <v>310</v>
      </c>
      <c r="F581" s="42">
        <v>319.7</v>
      </c>
      <c r="G581" s="58">
        <v>76.400000000000006</v>
      </c>
      <c r="H581" s="58">
        <v>0.5</v>
      </c>
      <c r="I581" s="58">
        <v>0.2</v>
      </c>
      <c r="J581" s="58">
        <v>16.899999999999999</v>
      </c>
      <c r="K581" s="58">
        <v>16.7</v>
      </c>
      <c r="L581" s="58">
        <v>1.1000000000000001</v>
      </c>
      <c r="M581" s="58">
        <v>0</v>
      </c>
      <c r="N581" s="17" t="s">
        <v>337</v>
      </c>
    </row>
    <row r="582" spans="1:14" ht="41.25" customHeight="1">
      <c r="A582" s="163"/>
      <c r="B582" s="19">
        <v>0</v>
      </c>
      <c r="C582" s="38" t="str">
        <f>$C$11</f>
        <v>Pão</v>
      </c>
      <c r="D582" s="30"/>
      <c r="E582" s="68" t="s">
        <v>297</v>
      </c>
      <c r="F582" s="156" t="s">
        <v>377</v>
      </c>
      <c r="G582" s="157"/>
      <c r="H582" s="157"/>
      <c r="I582" s="157"/>
      <c r="J582" s="157"/>
      <c r="K582" s="157"/>
      <c r="L582" s="157"/>
      <c r="M582" s="158"/>
      <c r="N582" s="62"/>
    </row>
    <row r="583" spans="1:14" ht="132" customHeight="1">
      <c r="A583" s="167" t="str">
        <f>+A$40</f>
        <v xml:space="preserve">
A sua refeição contém ou pode conter as seguintes substâncias ou produtos e seus derivados: 1Cereais que contêm glúten, 2Crustáceos , 3Ovos, 4Peixes, 5Amendoins, 6Soja, 7Leite, 8Frutos de casca rija, 9Aipo, 10Mostarda, 11Sementes de sésamo, 12Dióxido de enxofre e sulfitos, 13Tremoço, 14Moluscos. 
Para quem não é alérgico ou intolerante, estas substâncias ou produtos são completamente inofensivas. 
Caso necessite informação adicional sobre os produtos em causa deve solicitar aos funcionários.
Declaração nutricional: valores médios de 100 g ou 100 ml, calculados a partir dos valores médios conhecidos dos ingredientes utilizados, segundo o Instituto Nacional de Saúde Dr. Ricardo Jorge, Tabela da Composição de Alimentos (2007), e a informação disponibilizada pelos fornecedores.
Legenda: VE - Valor energético, Líp. - Lípidos, AG Sat. - Ácidos Gordos Saturados, HC - Hidratos de Carbono, Prot. - Proteínas.
</v>
      </c>
      <c r="B583" s="168"/>
      <c r="C583" s="168"/>
      <c r="D583" s="168"/>
      <c r="E583" s="168"/>
      <c r="F583" s="168"/>
      <c r="G583" s="168"/>
      <c r="H583" s="168"/>
      <c r="I583" s="168"/>
      <c r="J583" s="168"/>
      <c r="K583" s="168"/>
      <c r="L583" s="168"/>
      <c r="M583" s="168"/>
      <c r="N583" s="5"/>
    </row>
    <row r="584" spans="1:14" ht="20.100000000000001" customHeight="1">
      <c r="B584" s="28"/>
      <c r="C584" s="25"/>
      <c r="D584" s="26"/>
      <c r="E584" s="73"/>
      <c r="F584" s="39"/>
      <c r="G584" s="39"/>
      <c r="H584" s="39"/>
      <c r="I584" s="39"/>
      <c r="J584" s="39"/>
      <c r="K584" s="39"/>
      <c r="L584" s="39"/>
      <c r="M584" s="39"/>
      <c r="N584" s="14"/>
    </row>
  </sheetData>
  <autoFilter ref="A4:M434"/>
  <mergeCells count="268">
    <mergeCell ref="A578:A582"/>
    <mergeCell ref="F582:M582"/>
    <mergeCell ref="A583:M583"/>
    <mergeCell ref="A547:M547"/>
    <mergeCell ref="A550:A554"/>
    <mergeCell ref="F554:M554"/>
    <mergeCell ref="A557:A561"/>
    <mergeCell ref="F561:M561"/>
    <mergeCell ref="A564:A568"/>
    <mergeCell ref="F568:M568"/>
    <mergeCell ref="A571:A575"/>
    <mergeCell ref="F575:M575"/>
    <mergeCell ref="A514:A518"/>
    <mergeCell ref="F518:M518"/>
    <mergeCell ref="A521:A525"/>
    <mergeCell ref="F525:M525"/>
    <mergeCell ref="A528:A532"/>
    <mergeCell ref="F532:M532"/>
    <mergeCell ref="A535:A539"/>
    <mergeCell ref="A542:A546"/>
    <mergeCell ref="F546:M546"/>
    <mergeCell ref="F539:M539"/>
    <mergeCell ref="A474:M474"/>
    <mergeCell ref="A477:A481"/>
    <mergeCell ref="F481:M481"/>
    <mergeCell ref="A491:A495"/>
    <mergeCell ref="A484:A488"/>
    <mergeCell ref="A510:M510"/>
    <mergeCell ref="A505:A509"/>
    <mergeCell ref="F509:M509"/>
    <mergeCell ref="F140:M140"/>
    <mergeCell ref="F356:M356"/>
    <mergeCell ref="F466:M466"/>
    <mergeCell ref="F502:M502"/>
    <mergeCell ref="F495:M495"/>
    <mergeCell ref="F398:F399"/>
    <mergeCell ref="G398:G399"/>
    <mergeCell ref="H398:H399"/>
    <mergeCell ref="I398:I399"/>
    <mergeCell ref="F373:M373"/>
    <mergeCell ref="A498:A502"/>
    <mergeCell ref="F488:M488"/>
    <mergeCell ref="A441:A445"/>
    <mergeCell ref="F459:M459"/>
    <mergeCell ref="F445:M445"/>
    <mergeCell ref="A448:A452"/>
    <mergeCell ref="F452:M452"/>
    <mergeCell ref="A455:A459"/>
    <mergeCell ref="A469:A473"/>
    <mergeCell ref="F473:M473"/>
    <mergeCell ref="A462:A466"/>
    <mergeCell ref="A419:A423"/>
    <mergeCell ref="A412:A416"/>
    <mergeCell ref="F423:M423"/>
    <mergeCell ref="F416:M416"/>
    <mergeCell ref="A433:A437"/>
    <mergeCell ref="A426:A430"/>
    <mergeCell ref="F437:M437"/>
    <mergeCell ref="F430:M430"/>
    <mergeCell ref="A438:M438"/>
    <mergeCell ref="A405:A409"/>
    <mergeCell ref="F409:M409"/>
    <mergeCell ref="J398:J399"/>
    <mergeCell ref="K398:K399"/>
    <mergeCell ref="L398:L399"/>
    <mergeCell ref="M398:M399"/>
    <mergeCell ref="F401:M401"/>
    <mergeCell ref="A402:M402"/>
    <mergeCell ref="A397:A401"/>
    <mergeCell ref="C398:C399"/>
    <mergeCell ref="F394:M394"/>
    <mergeCell ref="J384:J385"/>
    <mergeCell ref="K384:K385"/>
    <mergeCell ref="L384:L385"/>
    <mergeCell ref="M384:M385"/>
    <mergeCell ref="F387:M387"/>
    <mergeCell ref="I384:I385"/>
    <mergeCell ref="H384:H385"/>
    <mergeCell ref="I391:I392"/>
    <mergeCell ref="J391:J392"/>
    <mergeCell ref="A352:A356"/>
    <mergeCell ref="L391:L392"/>
    <mergeCell ref="M391:M392"/>
    <mergeCell ref="K391:K392"/>
    <mergeCell ref="I370:I371"/>
    <mergeCell ref="A390:A394"/>
    <mergeCell ref="L377:L378"/>
    <mergeCell ref="H377:H378"/>
    <mergeCell ref="A369:A373"/>
    <mergeCell ref="C370:C371"/>
    <mergeCell ref="F370:F371"/>
    <mergeCell ref="G370:G371"/>
    <mergeCell ref="H370:H371"/>
    <mergeCell ref="A376:A380"/>
    <mergeCell ref="C377:C378"/>
    <mergeCell ref="F377:F378"/>
    <mergeCell ref="C391:C392"/>
    <mergeCell ref="F391:F392"/>
    <mergeCell ref="G391:G392"/>
    <mergeCell ref="H391:H392"/>
    <mergeCell ref="A383:A387"/>
    <mergeCell ref="C384:C385"/>
    <mergeCell ref="F384:F385"/>
    <mergeCell ref="G384:G385"/>
    <mergeCell ref="A316:A320"/>
    <mergeCell ref="M377:M378"/>
    <mergeCell ref="F380:M380"/>
    <mergeCell ref="J370:J371"/>
    <mergeCell ref="K370:K371"/>
    <mergeCell ref="L370:L371"/>
    <mergeCell ref="M370:M371"/>
    <mergeCell ref="I377:I378"/>
    <mergeCell ref="J377:J378"/>
    <mergeCell ref="K377:K378"/>
    <mergeCell ref="F349:M349"/>
    <mergeCell ref="F335:M335"/>
    <mergeCell ref="A338:A342"/>
    <mergeCell ref="F342:M342"/>
    <mergeCell ref="A345:A349"/>
    <mergeCell ref="F320:M320"/>
    <mergeCell ref="A328:M328"/>
    <mergeCell ref="A331:A335"/>
    <mergeCell ref="A323:A327"/>
    <mergeCell ref="F327:M327"/>
    <mergeCell ref="G377:G378"/>
    <mergeCell ref="F363:M363"/>
    <mergeCell ref="A364:M364"/>
    <mergeCell ref="A359:A363"/>
    <mergeCell ref="A309:A313"/>
    <mergeCell ref="A302:A306"/>
    <mergeCell ref="F313:M313"/>
    <mergeCell ref="F306:M306"/>
    <mergeCell ref="F284:M284"/>
    <mergeCell ref="A287:A291"/>
    <mergeCell ref="F291:M291"/>
    <mergeCell ref="A280:A284"/>
    <mergeCell ref="A259:A263"/>
    <mergeCell ref="F263:M263"/>
    <mergeCell ref="A295:A299"/>
    <mergeCell ref="F299:M299"/>
    <mergeCell ref="F277:M277"/>
    <mergeCell ref="F270:M270"/>
    <mergeCell ref="A273:A277"/>
    <mergeCell ref="A266:A270"/>
    <mergeCell ref="A292:M292"/>
    <mergeCell ref="A237:A241"/>
    <mergeCell ref="F241:M241"/>
    <mergeCell ref="A244:A248"/>
    <mergeCell ref="F248:M248"/>
    <mergeCell ref="A256:M256"/>
    <mergeCell ref="A223:A227"/>
    <mergeCell ref="F227:M227"/>
    <mergeCell ref="A215:A219"/>
    <mergeCell ref="F219:M219"/>
    <mergeCell ref="A230:A234"/>
    <mergeCell ref="F234:M234"/>
    <mergeCell ref="A251:A255"/>
    <mergeCell ref="F255:M255"/>
    <mergeCell ref="A208:A212"/>
    <mergeCell ref="F212:M212"/>
    <mergeCell ref="A220:M220"/>
    <mergeCell ref="A165:A169"/>
    <mergeCell ref="A158:A162"/>
    <mergeCell ref="F169:M169"/>
    <mergeCell ref="A172:A176"/>
    <mergeCell ref="F176:M176"/>
    <mergeCell ref="A184:M184"/>
    <mergeCell ref="A187:A191"/>
    <mergeCell ref="F191:M191"/>
    <mergeCell ref="A136:A140"/>
    <mergeCell ref="A148:M148"/>
    <mergeCell ref="A151:A155"/>
    <mergeCell ref="F155:M155"/>
    <mergeCell ref="A201:A205"/>
    <mergeCell ref="A194:A198"/>
    <mergeCell ref="F205:M205"/>
    <mergeCell ref="A143:A147"/>
    <mergeCell ref="F147:M147"/>
    <mergeCell ref="F162:M162"/>
    <mergeCell ref="A179:A183"/>
    <mergeCell ref="F183:M183"/>
    <mergeCell ref="F198:M198"/>
    <mergeCell ref="F133:M133"/>
    <mergeCell ref="F119:M119"/>
    <mergeCell ref="A122:A126"/>
    <mergeCell ref="F126:M126"/>
    <mergeCell ref="A129:A133"/>
    <mergeCell ref="A112:M112"/>
    <mergeCell ref="A115:A119"/>
    <mergeCell ref="A43:A47"/>
    <mergeCell ref="F61:M61"/>
    <mergeCell ref="F54:M54"/>
    <mergeCell ref="A107:A111"/>
    <mergeCell ref="A100:A104"/>
    <mergeCell ref="F111:M111"/>
    <mergeCell ref="F104:M104"/>
    <mergeCell ref="A93:A97"/>
    <mergeCell ref="A86:A90"/>
    <mergeCell ref="F97:M97"/>
    <mergeCell ref="F90:M90"/>
    <mergeCell ref="A76:M76"/>
    <mergeCell ref="A79:A83"/>
    <mergeCell ref="F83:M83"/>
    <mergeCell ref="F75:M75"/>
    <mergeCell ref="I29:I30"/>
    <mergeCell ref="J29:J30"/>
    <mergeCell ref="K29:K30"/>
    <mergeCell ref="L29:L30"/>
    <mergeCell ref="L36:L37"/>
    <mergeCell ref="M36:M37"/>
    <mergeCell ref="F68:M68"/>
    <mergeCell ref="A71:A75"/>
    <mergeCell ref="A64:A68"/>
    <mergeCell ref="E55:L55"/>
    <mergeCell ref="E62:L62"/>
    <mergeCell ref="A57:A61"/>
    <mergeCell ref="F47:M47"/>
    <mergeCell ref="A50:A54"/>
    <mergeCell ref="F39:M39"/>
    <mergeCell ref="A40:M40"/>
    <mergeCell ref="A35:A39"/>
    <mergeCell ref="C36:C37"/>
    <mergeCell ref="F36:F37"/>
    <mergeCell ref="G36:G37"/>
    <mergeCell ref="H36:H37"/>
    <mergeCell ref="I36:I37"/>
    <mergeCell ref="J36:J37"/>
    <mergeCell ref="K36:K37"/>
    <mergeCell ref="A28:A32"/>
    <mergeCell ref="C29:C30"/>
    <mergeCell ref="F29:F30"/>
    <mergeCell ref="G29:G30"/>
    <mergeCell ref="M29:M30"/>
    <mergeCell ref="F32:M32"/>
    <mergeCell ref="I15:I16"/>
    <mergeCell ref="J15:J16"/>
    <mergeCell ref="K15:K16"/>
    <mergeCell ref="L15:L16"/>
    <mergeCell ref="A21:A25"/>
    <mergeCell ref="C22:C23"/>
    <mergeCell ref="F22:F23"/>
    <mergeCell ref="G22:G23"/>
    <mergeCell ref="J22:J23"/>
    <mergeCell ref="K22:K23"/>
    <mergeCell ref="M15:M16"/>
    <mergeCell ref="F18:M18"/>
    <mergeCell ref="L22:L23"/>
    <mergeCell ref="M22:M23"/>
    <mergeCell ref="F25:M25"/>
    <mergeCell ref="I22:I23"/>
    <mergeCell ref="H29:H30"/>
    <mergeCell ref="H22:H23"/>
    <mergeCell ref="J8:J9"/>
    <mergeCell ref="K8:K9"/>
    <mergeCell ref="L8:L9"/>
    <mergeCell ref="M8:M9"/>
    <mergeCell ref="F11:M11"/>
    <mergeCell ref="I8:I9"/>
    <mergeCell ref="H15:H16"/>
    <mergeCell ref="H8:H9"/>
    <mergeCell ref="A7:A11"/>
    <mergeCell ref="C8:C9"/>
    <mergeCell ref="F8:F9"/>
    <mergeCell ref="G8:G9"/>
    <mergeCell ref="A14:A18"/>
    <mergeCell ref="C15:C16"/>
    <mergeCell ref="F15:F16"/>
    <mergeCell ref="G15:G16"/>
  </mergeCells>
  <phoneticPr fontId="47" type="noConversion"/>
  <conditionalFormatting sqref="E583:N64669 E222:N222 E150:N150 E186:N186 E114:N114 F113:M113 E78:N78 E42:N42 E6:M6 E27:M27 E20:M20 E13:M13 E34:M34 E49:N49 E368:M368 E389:M389 E382:M382 E375:M375 E396:M396 E56:N56 E70:N70 F63:N63 E99:N99 E106:N106 E92:N92 E85:N85 E135:M135 E121:N121 E128:N128 E518:E523 E142:N142 E171:N171 E157:N157 E178:N178 E193:N193 E200:N200 E207:N207 E214:N214 E229:N229 F164:N164 A512:D524 A526:D582 E544:E547 E563:N563 E549:N549 E534:N534 E556:N556 E570:N570 E577:N577 E513:N513 E527:N527 E541:N541 E513:E516 E525:E530 E532:E537 E539:E542 E549:E552 E554:E559 E561:E566 N512:N524 N526:N582 E236:N236 E243:N243 E250:N250 E258:N258 E265:N265 F272:N272 E279:N279 E286:N286 E294:N294 E301:N301 E308:N308 F315:N315 E322:N322 E330:N330 E337:N337 E344:N344 E351:N351 E358:N358 F404:N404 E411:N411 E418:N418 E425:N425 E432:N432 E440:N440 E447:N447 E454:N454 E461:N461 E468:N468 E476:N476 E483:N483 E490:N490 E497:N497 E504:N504 F512:M513 E520:N520 F561:M563 F532:M534 F554:M556 F526:M527 F575:M579 F568:M572 F518:M521 F558:M558 E575:E580 E582:M582 F565:M565 E568:E573 F539:M550">
    <cfRule type="cellIs" dxfId="150" priority="340" stopIfTrue="1" operator="equal">
      <formula>"z"</formula>
    </cfRule>
  </conditionalFormatting>
  <conditionalFormatting sqref="E18:M18 E11:M11 E39:M39 E32:M32 E25:M25 E380:M380 E373:M373 E401:M401 E394:M394 E387:M387 E313:M313 N71:N75 F68:N68 F61:N61 F54:N54 E83:M83 E104:M104 N505:N508 F97:M97 E90:M90 N86:N90 N100:N104 N115:N119 N129:N133 E119:M119 E126:M126 E133:M133 F140 E183:N183 E155:M155 E169:M169 E162:N162 E176:N176 N172:N175 E219:M219 E205:M205 F191:M191 F111:M111 E198:M198 N82:N83 F227:M227 E248:M248 E234:M234 E255:M255 E263:M263 E270:M270 E284:M284 E291:N291 E277:M277 E299:M299 F212:M212 E320:M320 E327:M327 E363:N363 E423:M423 F409:M409 F416:M416 F241:M241 E430:M430 E459:M459 E356:F356 F466 F437:M437 F473:N473 F481:M481 E488:N488 E568:M568 E502:N502 E509:N509 E47:N47 N43:N46 F306:M306 E342:M342 E349:M349 N158:N161 F75:M75 F445:M445 N50:N53 N201:N205 N215:N219 N230:N234 N244:N248 N259:N263 N273:N277 N309:N313 N316:N320 N345:N349 N359:N362 N405:N409 N426:N430 N448:N451 N469:N472 N484:N487 N498:N501 N57:N60 N64:N67 F335:M335 N93:N97 N107:N111 N122:N126 N136:N140 N143:N146 N151:N155 N165:N169 N179:N182 N187:N191 N194:N198 N208:N212 N223:N227 N237:N241 N251:N255 N266:N270 N280:N284 N287:N290 N295:N299 N302:N306 N323:N327 N331:N335 N338:N342 N352:N356 N412:N416 N419:N423 N433:N437 N441:N445 N455:N459 N462:N466 N477:N481 N491:N495 F452:N452 N577:N581 E545:N546 E518:M518 N534:N539 N520:N524 N527:N532 N513:N518 N541:N545 E554:M554 N570:N574 N556:N560 N563:N568 N549:N554 F495:M495 E582:N582 E123:E126 E532:M532 E539:M539 E108:E111 F147:N147 E153 E525:N525 E561:N561 E575:N575 F579:M579">
    <cfRule type="cellIs" dxfId="149" priority="339" stopIfTrue="1" operator="equal">
      <formula>"z"</formula>
    </cfRule>
  </conditionalFormatting>
  <conditionalFormatting sqref="F165:M165">
    <cfRule type="cellIs" dxfId="148" priority="149" stopIfTrue="1" operator="equal">
      <formula>"z"</formula>
    </cfRule>
  </conditionalFormatting>
  <conditionalFormatting sqref="F194:M194">
    <cfRule type="cellIs" dxfId="147" priority="148" stopIfTrue="1" operator="equal">
      <formula>"z"</formula>
    </cfRule>
  </conditionalFormatting>
  <conditionalFormatting sqref="F42:M42">
    <cfRule type="cellIs" dxfId="146" priority="147" stopIfTrue="1" operator="equal">
      <formula>"z"</formula>
    </cfRule>
  </conditionalFormatting>
  <conditionalFormatting sqref="L42">
    <cfRule type="cellIs" dxfId="145" priority="146" stopIfTrue="1" operator="equal">
      <formula>"z"</formula>
    </cfRule>
  </conditionalFormatting>
  <conditionalFormatting sqref="F49:M49">
    <cfRule type="cellIs" dxfId="144" priority="145" stopIfTrue="1" operator="equal">
      <formula>"z"</formula>
    </cfRule>
  </conditionalFormatting>
  <conditionalFormatting sqref="L49">
    <cfRule type="cellIs" dxfId="143" priority="144" stopIfTrue="1" operator="equal">
      <formula>"z"</formula>
    </cfRule>
  </conditionalFormatting>
  <conditionalFormatting sqref="F56:M56">
    <cfRule type="cellIs" dxfId="142" priority="143" stopIfTrue="1" operator="equal">
      <formula>"z"</formula>
    </cfRule>
  </conditionalFormatting>
  <conditionalFormatting sqref="L56">
    <cfRule type="cellIs" dxfId="141" priority="142" stopIfTrue="1" operator="equal">
      <formula>"z"</formula>
    </cfRule>
  </conditionalFormatting>
  <conditionalFormatting sqref="F63:M63">
    <cfRule type="cellIs" dxfId="140" priority="141" stopIfTrue="1" operator="equal">
      <formula>"z"</formula>
    </cfRule>
  </conditionalFormatting>
  <conditionalFormatting sqref="L63">
    <cfRule type="cellIs" dxfId="139" priority="140" stopIfTrue="1" operator="equal">
      <formula>"z"</formula>
    </cfRule>
  </conditionalFormatting>
  <conditionalFormatting sqref="F70:M70">
    <cfRule type="cellIs" dxfId="138" priority="139" stopIfTrue="1" operator="equal">
      <formula>"z"</formula>
    </cfRule>
  </conditionalFormatting>
  <conditionalFormatting sqref="L70">
    <cfRule type="cellIs" dxfId="137" priority="138" stopIfTrue="1" operator="equal">
      <formula>"z"</formula>
    </cfRule>
  </conditionalFormatting>
  <conditionalFormatting sqref="F78:M78">
    <cfRule type="cellIs" dxfId="136" priority="137" stopIfTrue="1" operator="equal">
      <formula>"z"</formula>
    </cfRule>
  </conditionalFormatting>
  <conditionalFormatting sqref="L78">
    <cfRule type="cellIs" dxfId="135" priority="136" stopIfTrue="1" operator="equal">
      <formula>"z"</formula>
    </cfRule>
  </conditionalFormatting>
  <conditionalFormatting sqref="F85:M85">
    <cfRule type="cellIs" dxfId="134" priority="135" stopIfTrue="1" operator="equal">
      <formula>"z"</formula>
    </cfRule>
  </conditionalFormatting>
  <conditionalFormatting sqref="L85">
    <cfRule type="cellIs" dxfId="133" priority="134" stopIfTrue="1" operator="equal">
      <formula>"z"</formula>
    </cfRule>
  </conditionalFormatting>
  <conditionalFormatting sqref="F92:M92">
    <cfRule type="cellIs" dxfId="132" priority="133" stopIfTrue="1" operator="equal">
      <formula>"z"</formula>
    </cfRule>
  </conditionalFormatting>
  <conditionalFormatting sqref="L92">
    <cfRule type="cellIs" dxfId="131" priority="132" stopIfTrue="1" operator="equal">
      <formula>"z"</formula>
    </cfRule>
  </conditionalFormatting>
  <conditionalFormatting sqref="F99:M99">
    <cfRule type="cellIs" dxfId="130" priority="131" stopIfTrue="1" operator="equal">
      <formula>"z"</formula>
    </cfRule>
  </conditionalFormatting>
  <conditionalFormatting sqref="L99">
    <cfRule type="cellIs" dxfId="129" priority="130" stopIfTrue="1" operator="equal">
      <formula>"z"</formula>
    </cfRule>
  </conditionalFormatting>
  <conditionalFormatting sqref="F106:M106">
    <cfRule type="cellIs" dxfId="128" priority="129" stopIfTrue="1" operator="equal">
      <formula>"z"</formula>
    </cfRule>
  </conditionalFormatting>
  <conditionalFormatting sqref="L106">
    <cfRule type="cellIs" dxfId="127" priority="128" stopIfTrue="1" operator="equal">
      <formula>"z"</formula>
    </cfRule>
  </conditionalFormatting>
  <conditionalFormatting sqref="F114:M114">
    <cfRule type="cellIs" dxfId="126" priority="127" stopIfTrue="1" operator="equal">
      <formula>"z"</formula>
    </cfRule>
  </conditionalFormatting>
  <conditionalFormatting sqref="L114">
    <cfRule type="cellIs" dxfId="125" priority="126" stopIfTrue="1" operator="equal">
      <formula>"z"</formula>
    </cfRule>
  </conditionalFormatting>
  <conditionalFormatting sqref="F121:M121">
    <cfRule type="cellIs" dxfId="124" priority="125" stopIfTrue="1" operator="equal">
      <formula>"z"</formula>
    </cfRule>
  </conditionalFormatting>
  <conditionalFormatting sqref="L121">
    <cfRule type="cellIs" dxfId="123" priority="124" stopIfTrue="1" operator="equal">
      <formula>"z"</formula>
    </cfRule>
  </conditionalFormatting>
  <conditionalFormatting sqref="F128:M128">
    <cfRule type="cellIs" dxfId="122" priority="123" stopIfTrue="1" operator="equal">
      <formula>"z"</formula>
    </cfRule>
  </conditionalFormatting>
  <conditionalFormatting sqref="L128">
    <cfRule type="cellIs" dxfId="121" priority="122" stopIfTrue="1" operator="equal">
      <formula>"z"</formula>
    </cfRule>
  </conditionalFormatting>
  <conditionalFormatting sqref="F135:M135">
    <cfRule type="cellIs" dxfId="120" priority="121" stopIfTrue="1" operator="equal">
      <formula>"z"</formula>
    </cfRule>
  </conditionalFormatting>
  <conditionalFormatting sqref="L135">
    <cfRule type="cellIs" dxfId="119" priority="120" stopIfTrue="1" operator="equal">
      <formula>"z"</formula>
    </cfRule>
  </conditionalFormatting>
  <conditionalFormatting sqref="F142:M142">
    <cfRule type="cellIs" dxfId="118" priority="119" stopIfTrue="1" operator="equal">
      <formula>"z"</formula>
    </cfRule>
  </conditionalFormatting>
  <conditionalFormatting sqref="L142">
    <cfRule type="cellIs" dxfId="117" priority="118" stopIfTrue="1" operator="equal">
      <formula>"z"</formula>
    </cfRule>
  </conditionalFormatting>
  <conditionalFormatting sqref="F150:M150">
    <cfRule type="cellIs" dxfId="116" priority="117" stopIfTrue="1" operator="equal">
      <formula>"z"</formula>
    </cfRule>
  </conditionalFormatting>
  <conditionalFormatting sqref="L150">
    <cfRule type="cellIs" dxfId="115" priority="116" stopIfTrue="1" operator="equal">
      <formula>"z"</formula>
    </cfRule>
  </conditionalFormatting>
  <conditionalFormatting sqref="F157:M157">
    <cfRule type="cellIs" dxfId="114" priority="115" stopIfTrue="1" operator="equal">
      <formula>"z"</formula>
    </cfRule>
  </conditionalFormatting>
  <conditionalFormatting sqref="L157">
    <cfRule type="cellIs" dxfId="113" priority="114" stopIfTrue="1" operator="equal">
      <formula>"z"</formula>
    </cfRule>
  </conditionalFormatting>
  <conditionalFormatting sqref="F164:M164">
    <cfRule type="cellIs" dxfId="112" priority="113" stopIfTrue="1" operator="equal">
      <formula>"z"</formula>
    </cfRule>
  </conditionalFormatting>
  <conditionalFormatting sqref="L164">
    <cfRule type="cellIs" dxfId="111" priority="112" stopIfTrue="1" operator="equal">
      <formula>"z"</formula>
    </cfRule>
  </conditionalFormatting>
  <conditionalFormatting sqref="F171:M171">
    <cfRule type="cellIs" dxfId="110" priority="111" stopIfTrue="1" operator="equal">
      <formula>"z"</formula>
    </cfRule>
  </conditionalFormatting>
  <conditionalFormatting sqref="L171">
    <cfRule type="cellIs" dxfId="109" priority="110" stopIfTrue="1" operator="equal">
      <formula>"z"</formula>
    </cfRule>
  </conditionalFormatting>
  <conditionalFormatting sqref="F178:M178">
    <cfRule type="cellIs" dxfId="108" priority="109" stopIfTrue="1" operator="equal">
      <formula>"z"</formula>
    </cfRule>
  </conditionalFormatting>
  <conditionalFormatting sqref="L178">
    <cfRule type="cellIs" dxfId="107" priority="108" stopIfTrue="1" operator="equal">
      <formula>"z"</formula>
    </cfRule>
  </conditionalFormatting>
  <conditionalFormatting sqref="F186:M186">
    <cfRule type="cellIs" dxfId="106" priority="107" stopIfTrue="1" operator="equal">
      <formula>"z"</formula>
    </cfRule>
  </conditionalFormatting>
  <conditionalFormatting sqref="L186">
    <cfRule type="cellIs" dxfId="105" priority="106" stopIfTrue="1" operator="equal">
      <formula>"z"</formula>
    </cfRule>
  </conditionalFormatting>
  <conditionalFormatting sqref="F193:M193">
    <cfRule type="cellIs" dxfId="104" priority="105" stopIfTrue="1" operator="equal">
      <formula>"z"</formula>
    </cfRule>
  </conditionalFormatting>
  <conditionalFormatting sqref="L193">
    <cfRule type="cellIs" dxfId="103" priority="104" stopIfTrue="1" operator="equal">
      <formula>"z"</formula>
    </cfRule>
  </conditionalFormatting>
  <conditionalFormatting sqref="F200:M200">
    <cfRule type="cellIs" dxfId="102" priority="103" stopIfTrue="1" operator="equal">
      <formula>"z"</formula>
    </cfRule>
  </conditionalFormatting>
  <conditionalFormatting sqref="L200">
    <cfRule type="cellIs" dxfId="101" priority="102" stopIfTrue="1" operator="equal">
      <formula>"z"</formula>
    </cfRule>
  </conditionalFormatting>
  <conditionalFormatting sqref="F207:M207">
    <cfRule type="cellIs" dxfId="100" priority="101" stopIfTrue="1" operator="equal">
      <formula>"z"</formula>
    </cfRule>
  </conditionalFormatting>
  <conditionalFormatting sqref="L207">
    <cfRule type="cellIs" dxfId="99" priority="100" stopIfTrue="1" operator="equal">
      <formula>"z"</formula>
    </cfRule>
  </conditionalFormatting>
  <conditionalFormatting sqref="F214:M214">
    <cfRule type="cellIs" dxfId="98" priority="99" stopIfTrue="1" operator="equal">
      <formula>"z"</formula>
    </cfRule>
  </conditionalFormatting>
  <conditionalFormatting sqref="L214">
    <cfRule type="cellIs" dxfId="97" priority="98" stopIfTrue="1" operator="equal">
      <formula>"z"</formula>
    </cfRule>
  </conditionalFormatting>
  <conditionalFormatting sqref="F222:M222">
    <cfRule type="cellIs" dxfId="96" priority="97" stopIfTrue="1" operator="equal">
      <formula>"z"</formula>
    </cfRule>
  </conditionalFormatting>
  <conditionalFormatting sqref="L222">
    <cfRule type="cellIs" dxfId="95" priority="96" stopIfTrue="1" operator="equal">
      <formula>"z"</formula>
    </cfRule>
  </conditionalFormatting>
  <conditionalFormatting sqref="F229:M229">
    <cfRule type="cellIs" dxfId="94" priority="95" stopIfTrue="1" operator="equal">
      <formula>"z"</formula>
    </cfRule>
  </conditionalFormatting>
  <conditionalFormatting sqref="L229">
    <cfRule type="cellIs" dxfId="93" priority="94" stopIfTrue="1" operator="equal">
      <formula>"z"</formula>
    </cfRule>
  </conditionalFormatting>
  <conditionalFormatting sqref="F236:M236">
    <cfRule type="cellIs" dxfId="92" priority="93" stopIfTrue="1" operator="equal">
      <formula>"z"</formula>
    </cfRule>
  </conditionalFormatting>
  <conditionalFormatting sqref="L236">
    <cfRule type="cellIs" dxfId="91" priority="92" stopIfTrue="1" operator="equal">
      <formula>"z"</formula>
    </cfRule>
  </conditionalFormatting>
  <conditionalFormatting sqref="F243:M243">
    <cfRule type="cellIs" dxfId="90" priority="91" stopIfTrue="1" operator="equal">
      <formula>"z"</formula>
    </cfRule>
  </conditionalFormatting>
  <conditionalFormatting sqref="L243">
    <cfRule type="cellIs" dxfId="89" priority="90" stopIfTrue="1" operator="equal">
      <formula>"z"</formula>
    </cfRule>
  </conditionalFormatting>
  <conditionalFormatting sqref="F250:M250">
    <cfRule type="cellIs" dxfId="88" priority="89" stopIfTrue="1" operator="equal">
      <formula>"z"</formula>
    </cfRule>
  </conditionalFormatting>
  <conditionalFormatting sqref="L250">
    <cfRule type="cellIs" dxfId="87" priority="88" stopIfTrue="1" operator="equal">
      <formula>"z"</formula>
    </cfRule>
  </conditionalFormatting>
  <conditionalFormatting sqref="F258:M258">
    <cfRule type="cellIs" dxfId="86" priority="87" stopIfTrue="1" operator="equal">
      <formula>"z"</formula>
    </cfRule>
  </conditionalFormatting>
  <conditionalFormatting sqref="L258">
    <cfRule type="cellIs" dxfId="85" priority="86" stopIfTrue="1" operator="equal">
      <formula>"z"</formula>
    </cfRule>
  </conditionalFormatting>
  <conditionalFormatting sqref="F265:M265">
    <cfRule type="cellIs" dxfId="84" priority="85" stopIfTrue="1" operator="equal">
      <formula>"z"</formula>
    </cfRule>
  </conditionalFormatting>
  <conditionalFormatting sqref="L265">
    <cfRule type="cellIs" dxfId="83" priority="84" stopIfTrue="1" operator="equal">
      <formula>"z"</formula>
    </cfRule>
  </conditionalFormatting>
  <conditionalFormatting sqref="F272:M272">
    <cfRule type="cellIs" dxfId="82" priority="83" stopIfTrue="1" operator="equal">
      <formula>"z"</formula>
    </cfRule>
  </conditionalFormatting>
  <conditionalFormatting sqref="L272">
    <cfRule type="cellIs" dxfId="81" priority="82" stopIfTrue="1" operator="equal">
      <formula>"z"</formula>
    </cfRule>
  </conditionalFormatting>
  <conditionalFormatting sqref="F279:M279">
    <cfRule type="cellIs" dxfId="80" priority="81" stopIfTrue="1" operator="equal">
      <formula>"z"</formula>
    </cfRule>
  </conditionalFormatting>
  <conditionalFormatting sqref="L279">
    <cfRule type="cellIs" dxfId="79" priority="80" stopIfTrue="1" operator="equal">
      <formula>"z"</formula>
    </cfRule>
  </conditionalFormatting>
  <conditionalFormatting sqref="F286:M286">
    <cfRule type="cellIs" dxfId="78" priority="79" stopIfTrue="1" operator="equal">
      <formula>"z"</formula>
    </cfRule>
  </conditionalFormatting>
  <conditionalFormatting sqref="L286">
    <cfRule type="cellIs" dxfId="77" priority="78" stopIfTrue="1" operator="equal">
      <formula>"z"</formula>
    </cfRule>
  </conditionalFormatting>
  <conditionalFormatting sqref="F294:M294">
    <cfRule type="cellIs" dxfId="76" priority="77" stopIfTrue="1" operator="equal">
      <formula>"z"</formula>
    </cfRule>
  </conditionalFormatting>
  <conditionalFormatting sqref="L294">
    <cfRule type="cellIs" dxfId="75" priority="76" stopIfTrue="1" operator="equal">
      <formula>"z"</formula>
    </cfRule>
  </conditionalFormatting>
  <conditionalFormatting sqref="F301:M301">
    <cfRule type="cellIs" dxfId="74" priority="75" stopIfTrue="1" operator="equal">
      <formula>"z"</formula>
    </cfRule>
  </conditionalFormatting>
  <conditionalFormatting sqref="L301">
    <cfRule type="cellIs" dxfId="73" priority="74" stopIfTrue="1" operator="equal">
      <formula>"z"</formula>
    </cfRule>
  </conditionalFormatting>
  <conditionalFormatting sqref="F308:M308">
    <cfRule type="cellIs" dxfId="72" priority="73" stopIfTrue="1" operator="equal">
      <formula>"z"</formula>
    </cfRule>
  </conditionalFormatting>
  <conditionalFormatting sqref="L308">
    <cfRule type="cellIs" dxfId="71" priority="72" stopIfTrue="1" operator="equal">
      <formula>"z"</formula>
    </cfRule>
  </conditionalFormatting>
  <conditionalFormatting sqref="F315:M315">
    <cfRule type="cellIs" dxfId="70" priority="71" stopIfTrue="1" operator="equal">
      <formula>"z"</formula>
    </cfRule>
  </conditionalFormatting>
  <conditionalFormatting sqref="L315">
    <cfRule type="cellIs" dxfId="69" priority="70" stopIfTrue="1" operator="equal">
      <formula>"z"</formula>
    </cfRule>
  </conditionalFormatting>
  <conditionalFormatting sqref="F322:M322">
    <cfRule type="cellIs" dxfId="68" priority="69" stopIfTrue="1" operator="equal">
      <formula>"z"</formula>
    </cfRule>
  </conditionalFormatting>
  <conditionalFormatting sqref="L322">
    <cfRule type="cellIs" dxfId="67" priority="68" stopIfTrue="1" operator="equal">
      <formula>"z"</formula>
    </cfRule>
  </conditionalFormatting>
  <conditionalFormatting sqref="F330:M330">
    <cfRule type="cellIs" dxfId="66" priority="67" stopIfTrue="1" operator="equal">
      <formula>"z"</formula>
    </cfRule>
  </conditionalFormatting>
  <conditionalFormatting sqref="L330">
    <cfRule type="cellIs" dxfId="65" priority="66" stopIfTrue="1" operator="equal">
      <formula>"z"</formula>
    </cfRule>
  </conditionalFormatting>
  <conditionalFormatting sqref="F337:M337">
    <cfRule type="cellIs" dxfId="64" priority="65" stopIfTrue="1" operator="equal">
      <formula>"z"</formula>
    </cfRule>
  </conditionalFormatting>
  <conditionalFormatting sqref="L337">
    <cfRule type="cellIs" dxfId="63" priority="64" stopIfTrue="1" operator="equal">
      <formula>"z"</formula>
    </cfRule>
  </conditionalFormatting>
  <conditionalFormatting sqref="F344:M344">
    <cfRule type="cellIs" dxfId="62" priority="63" stopIfTrue="1" operator="equal">
      <formula>"z"</formula>
    </cfRule>
  </conditionalFormatting>
  <conditionalFormatting sqref="L344">
    <cfRule type="cellIs" dxfId="61" priority="62" stopIfTrue="1" operator="equal">
      <formula>"z"</formula>
    </cfRule>
  </conditionalFormatting>
  <conditionalFormatting sqref="F351:M351">
    <cfRule type="cellIs" dxfId="60" priority="61" stopIfTrue="1" operator="equal">
      <formula>"z"</formula>
    </cfRule>
  </conditionalFormatting>
  <conditionalFormatting sqref="L351">
    <cfRule type="cellIs" dxfId="59" priority="60" stopIfTrue="1" operator="equal">
      <formula>"z"</formula>
    </cfRule>
  </conditionalFormatting>
  <conditionalFormatting sqref="F358:M358">
    <cfRule type="cellIs" dxfId="58" priority="59" stopIfTrue="1" operator="equal">
      <formula>"z"</formula>
    </cfRule>
  </conditionalFormatting>
  <conditionalFormatting sqref="L358">
    <cfRule type="cellIs" dxfId="57" priority="58" stopIfTrue="1" operator="equal">
      <formula>"z"</formula>
    </cfRule>
  </conditionalFormatting>
  <conditionalFormatting sqref="F404:M404">
    <cfRule type="cellIs" dxfId="56" priority="57" stopIfTrue="1" operator="equal">
      <formula>"z"</formula>
    </cfRule>
  </conditionalFormatting>
  <conditionalFormatting sqref="L404">
    <cfRule type="cellIs" dxfId="55" priority="56" stopIfTrue="1" operator="equal">
      <formula>"z"</formula>
    </cfRule>
  </conditionalFormatting>
  <conditionalFormatting sqref="F411:M411">
    <cfRule type="cellIs" dxfId="54" priority="55" stopIfTrue="1" operator="equal">
      <formula>"z"</formula>
    </cfRule>
  </conditionalFormatting>
  <conditionalFormatting sqref="L411">
    <cfRule type="cellIs" dxfId="53" priority="54" stopIfTrue="1" operator="equal">
      <formula>"z"</formula>
    </cfRule>
  </conditionalFormatting>
  <conditionalFormatting sqref="F418:M418">
    <cfRule type="cellIs" dxfId="52" priority="53" stopIfTrue="1" operator="equal">
      <formula>"z"</formula>
    </cfRule>
  </conditionalFormatting>
  <conditionalFormatting sqref="L418">
    <cfRule type="cellIs" dxfId="51" priority="52" stopIfTrue="1" operator="equal">
      <formula>"z"</formula>
    </cfRule>
  </conditionalFormatting>
  <conditionalFormatting sqref="F425:M425">
    <cfRule type="cellIs" dxfId="50" priority="51" stopIfTrue="1" operator="equal">
      <formula>"z"</formula>
    </cfRule>
  </conditionalFormatting>
  <conditionalFormatting sqref="L425">
    <cfRule type="cellIs" dxfId="49" priority="50" stopIfTrue="1" operator="equal">
      <formula>"z"</formula>
    </cfRule>
  </conditionalFormatting>
  <conditionalFormatting sqref="F432:M432">
    <cfRule type="cellIs" dxfId="48" priority="49" stopIfTrue="1" operator="equal">
      <formula>"z"</formula>
    </cfRule>
  </conditionalFormatting>
  <conditionalFormatting sqref="L432">
    <cfRule type="cellIs" dxfId="47" priority="48" stopIfTrue="1" operator="equal">
      <formula>"z"</formula>
    </cfRule>
  </conditionalFormatting>
  <conditionalFormatting sqref="F440:M440">
    <cfRule type="cellIs" dxfId="46" priority="47" stopIfTrue="1" operator="equal">
      <formula>"z"</formula>
    </cfRule>
  </conditionalFormatting>
  <conditionalFormatting sqref="L440">
    <cfRule type="cellIs" dxfId="45" priority="46" stopIfTrue="1" operator="equal">
      <formula>"z"</formula>
    </cfRule>
  </conditionalFormatting>
  <conditionalFormatting sqref="F447:M447">
    <cfRule type="cellIs" dxfId="44" priority="45" stopIfTrue="1" operator="equal">
      <formula>"z"</formula>
    </cfRule>
  </conditionalFormatting>
  <conditionalFormatting sqref="L447">
    <cfRule type="cellIs" dxfId="43" priority="44" stopIfTrue="1" operator="equal">
      <formula>"z"</formula>
    </cfRule>
  </conditionalFormatting>
  <conditionalFormatting sqref="F454:M454">
    <cfRule type="cellIs" dxfId="42" priority="43" stopIfTrue="1" operator="equal">
      <formula>"z"</formula>
    </cfRule>
  </conditionalFormatting>
  <conditionalFormatting sqref="L454">
    <cfRule type="cellIs" dxfId="41" priority="42" stopIfTrue="1" operator="equal">
      <formula>"z"</formula>
    </cfRule>
  </conditionalFormatting>
  <conditionalFormatting sqref="F461:M461">
    <cfRule type="cellIs" dxfId="40" priority="41" stopIfTrue="1" operator="equal">
      <formula>"z"</formula>
    </cfRule>
  </conditionalFormatting>
  <conditionalFormatting sqref="L461">
    <cfRule type="cellIs" dxfId="39" priority="40" stopIfTrue="1" operator="equal">
      <formula>"z"</formula>
    </cfRule>
  </conditionalFormatting>
  <conditionalFormatting sqref="F468:M468">
    <cfRule type="cellIs" dxfId="38" priority="39" stopIfTrue="1" operator="equal">
      <formula>"z"</formula>
    </cfRule>
  </conditionalFormatting>
  <conditionalFormatting sqref="L468">
    <cfRule type="cellIs" dxfId="37" priority="38" stopIfTrue="1" operator="equal">
      <formula>"z"</formula>
    </cfRule>
  </conditionalFormatting>
  <conditionalFormatting sqref="F476:M476">
    <cfRule type="cellIs" dxfId="36" priority="37" stopIfTrue="1" operator="equal">
      <formula>"z"</formula>
    </cfRule>
  </conditionalFormatting>
  <conditionalFormatting sqref="L476">
    <cfRule type="cellIs" dxfId="35" priority="36" stopIfTrue="1" operator="equal">
      <formula>"z"</formula>
    </cfRule>
  </conditionalFormatting>
  <conditionalFormatting sqref="F483:M483">
    <cfRule type="cellIs" dxfId="34" priority="35" stopIfTrue="1" operator="equal">
      <formula>"z"</formula>
    </cfRule>
  </conditionalFormatting>
  <conditionalFormatting sqref="L483">
    <cfRule type="cellIs" dxfId="33" priority="34" stopIfTrue="1" operator="equal">
      <formula>"z"</formula>
    </cfRule>
  </conditionalFormatting>
  <conditionalFormatting sqref="F490:M490">
    <cfRule type="cellIs" dxfId="32" priority="33" stopIfTrue="1" operator="equal">
      <formula>"z"</formula>
    </cfRule>
  </conditionalFormatting>
  <conditionalFormatting sqref="L490">
    <cfRule type="cellIs" dxfId="31" priority="32" stopIfTrue="1" operator="equal">
      <formula>"z"</formula>
    </cfRule>
  </conditionalFormatting>
  <conditionalFormatting sqref="F497:M497">
    <cfRule type="cellIs" dxfId="30" priority="31" stopIfTrue="1" operator="equal">
      <formula>"z"</formula>
    </cfRule>
  </conditionalFormatting>
  <conditionalFormatting sqref="L497">
    <cfRule type="cellIs" dxfId="29" priority="30" stopIfTrue="1" operator="equal">
      <formula>"z"</formula>
    </cfRule>
  </conditionalFormatting>
  <conditionalFormatting sqref="F504:M504">
    <cfRule type="cellIs" dxfId="28" priority="29" stopIfTrue="1" operator="equal">
      <formula>"z"</formula>
    </cfRule>
  </conditionalFormatting>
  <conditionalFormatting sqref="L504">
    <cfRule type="cellIs" dxfId="27" priority="28" stopIfTrue="1" operator="equal">
      <formula>"z"</formula>
    </cfRule>
  </conditionalFormatting>
  <conditionalFormatting sqref="F513:M513">
    <cfRule type="cellIs" dxfId="26" priority="27" stopIfTrue="1" operator="equal">
      <formula>"z"</formula>
    </cfRule>
  </conditionalFormatting>
  <conditionalFormatting sqref="L513">
    <cfRule type="cellIs" dxfId="25" priority="26" stopIfTrue="1" operator="equal">
      <formula>"z"</formula>
    </cfRule>
  </conditionalFormatting>
  <conditionalFormatting sqref="F520:M520">
    <cfRule type="cellIs" dxfId="24" priority="25" stopIfTrue="1" operator="equal">
      <formula>"z"</formula>
    </cfRule>
  </conditionalFormatting>
  <conditionalFormatting sqref="L520">
    <cfRule type="cellIs" dxfId="23" priority="24" stopIfTrue="1" operator="equal">
      <formula>"z"</formula>
    </cfRule>
  </conditionalFormatting>
  <conditionalFormatting sqref="F527:M527">
    <cfRule type="cellIs" dxfId="22" priority="23" stopIfTrue="1" operator="equal">
      <formula>"z"</formula>
    </cfRule>
  </conditionalFormatting>
  <conditionalFormatting sqref="L527">
    <cfRule type="cellIs" dxfId="21" priority="22" stopIfTrue="1" operator="equal">
      <formula>"z"</formula>
    </cfRule>
  </conditionalFormatting>
  <conditionalFormatting sqref="F534:M534">
    <cfRule type="cellIs" dxfId="20" priority="21" stopIfTrue="1" operator="equal">
      <formula>"z"</formula>
    </cfRule>
  </conditionalFormatting>
  <conditionalFormatting sqref="L534">
    <cfRule type="cellIs" dxfId="19" priority="20" stopIfTrue="1" operator="equal">
      <formula>"z"</formula>
    </cfRule>
  </conditionalFormatting>
  <conditionalFormatting sqref="F541:M541">
    <cfRule type="cellIs" dxfId="18" priority="19" stopIfTrue="1" operator="equal">
      <formula>"z"</formula>
    </cfRule>
  </conditionalFormatting>
  <conditionalFormatting sqref="L541">
    <cfRule type="cellIs" dxfId="17" priority="18" stopIfTrue="1" operator="equal">
      <formula>"z"</formula>
    </cfRule>
  </conditionalFormatting>
  <conditionalFormatting sqref="F549:M549">
    <cfRule type="cellIs" dxfId="16" priority="17" stopIfTrue="1" operator="equal">
      <formula>"z"</formula>
    </cfRule>
  </conditionalFormatting>
  <conditionalFormatting sqref="L549">
    <cfRule type="cellIs" dxfId="15" priority="16" stopIfTrue="1" operator="equal">
      <formula>"z"</formula>
    </cfRule>
  </conditionalFormatting>
  <conditionalFormatting sqref="F556:M556">
    <cfRule type="cellIs" dxfId="14" priority="15" stopIfTrue="1" operator="equal">
      <formula>"z"</formula>
    </cfRule>
  </conditionalFormatting>
  <conditionalFormatting sqref="L556">
    <cfRule type="cellIs" dxfId="13" priority="14" stopIfTrue="1" operator="equal">
      <formula>"z"</formula>
    </cfRule>
  </conditionalFormatting>
  <conditionalFormatting sqref="F563:M563">
    <cfRule type="cellIs" dxfId="12" priority="13" stopIfTrue="1" operator="equal">
      <formula>"z"</formula>
    </cfRule>
  </conditionalFormatting>
  <conditionalFormatting sqref="L563">
    <cfRule type="cellIs" dxfId="11" priority="12" stopIfTrue="1" operator="equal">
      <formula>"z"</formula>
    </cfRule>
  </conditionalFormatting>
  <conditionalFormatting sqref="F570:M570">
    <cfRule type="cellIs" dxfId="10" priority="11" stopIfTrue="1" operator="equal">
      <formula>"z"</formula>
    </cfRule>
  </conditionalFormatting>
  <conditionalFormatting sqref="L570">
    <cfRule type="cellIs" dxfId="9" priority="10" stopIfTrue="1" operator="equal">
      <formula>"z"</formula>
    </cfRule>
  </conditionalFormatting>
  <conditionalFormatting sqref="F577:M577">
    <cfRule type="cellIs" dxfId="8" priority="9" stopIfTrue="1" operator="equal">
      <formula>"z"</formula>
    </cfRule>
  </conditionalFormatting>
  <conditionalFormatting sqref="L577">
    <cfRule type="cellIs" dxfId="7" priority="8" stopIfTrue="1" operator="equal">
      <formula>"z"</formula>
    </cfRule>
  </conditionalFormatting>
  <conditionalFormatting sqref="F151:M151">
    <cfRule type="cellIs" dxfId="6" priority="7" stopIfTrue="1" operator="equal">
      <formula>"z"</formula>
    </cfRule>
  </conditionalFormatting>
  <conditionalFormatting sqref="F195:M195">
    <cfRule type="cellIs" dxfId="5" priority="6" stopIfTrue="1" operator="equal">
      <formula>"z"</formula>
    </cfRule>
  </conditionalFormatting>
  <conditionalFormatting sqref="F153:M153">
    <cfRule type="cellIs" dxfId="4" priority="5" stopIfTrue="1" operator="equal">
      <formula>"z"</formula>
    </cfRule>
  </conditionalFormatting>
  <conditionalFormatting sqref="F196:M196">
    <cfRule type="cellIs" dxfId="3" priority="4" stopIfTrue="1" operator="equal">
      <formula>"z"</formula>
    </cfRule>
  </conditionalFormatting>
  <conditionalFormatting sqref="F152:M152">
    <cfRule type="cellIs" dxfId="2" priority="3" stopIfTrue="1" operator="equal">
      <formula>"z"</formula>
    </cfRule>
  </conditionalFormatting>
  <conditionalFormatting sqref="F166:M166">
    <cfRule type="cellIs" dxfId="1" priority="2" stopIfTrue="1" operator="equal">
      <formula>"z"</formula>
    </cfRule>
  </conditionalFormatting>
  <conditionalFormatting sqref="F209:M209">
    <cfRule type="cellIs" dxfId="0" priority="1" stopIfTrue="1" operator="equal">
      <formula>"z"</formula>
    </cfRule>
  </conditionalFormatting>
  <hyperlinks>
    <hyperlink ref="N353" location="'1 FTCarne'!A44" tooltip="Ficha Técnica" display="FT"/>
    <hyperlink ref="N72" location="'2 FTPeixe'!A213" tooltip="Ficha Técnica" display="FT"/>
    <hyperlink ref="N65" location="'1 FTCarne'!A167" tooltip="Ficha Técnica" display="FT"/>
    <hyperlink ref="N50" location="'3 FTSopas'!A178" tooltip="Ficha Técnica" display="FT"/>
    <hyperlink ref="N57" location="'3 FTSopas'!A52" tooltip="Ficha Técnica" display="FT"/>
    <hyperlink ref="N64" location="'3 FTSopas'!A270" tooltip="Ficha Técnica" display="FT"/>
    <hyperlink ref="N71" location="'3 FTSopas'!A201" tooltip="Ficha Técnica" display="FT"/>
    <hyperlink ref="N74" location="'5 FTsobremesas'!A44" tooltip="Ficha Técnica" display="FT"/>
    <hyperlink ref="N66" location="'6 FTsaladas&amp;legumes'!A1" tooltip="Ficha Técnica" display="FT"/>
    <hyperlink ref="N73" location="'6 FTsaladas&amp;legumes'!A1" tooltip="Ficha Técnica" display="FT"/>
    <hyperlink ref="N51" location="'1 FTCarne'!A159" tooltip="Ficha Técnica" display="FT"/>
    <hyperlink ref="N58" location="'2 FTPeixe'!A203" tooltip="Ficha Técnica" display="FT"/>
    <hyperlink ref="N59" location="'6 FTsaladas&amp;legumes'!A1" tooltip="Ficha Técnica" display="FT"/>
    <hyperlink ref="N53" location="'5 FTsobremesas'!A54" tooltip="Ficha Técnica" display="FT"/>
    <hyperlink ref="N107" location="'3 FTSopas'!A250" tooltip="Ficha Técnica" display="FT"/>
    <hyperlink ref="N103" location="'5 FTsobremesas'!A50" tooltip="Ficha Técnica" display="FT"/>
    <hyperlink ref="N95" location="'6 FTsaladas&amp;legumes'!A9" display="FT"/>
    <hyperlink ref="N93" location="'3 FTSopas'!A359" display="FT"/>
    <hyperlink ref="N81" location="'6 FTsaladas&amp;legumes'!A9" display="FT"/>
    <hyperlink ref="N80" location="'1 FTCarne'!A176" display="FT"/>
    <hyperlink ref="N79" location="'3 FTSopas'!A121" display="FT"/>
    <hyperlink ref="N94" location="'1 FTCarne'!A98" tooltip="Ficha Técnica" display="FT"/>
    <hyperlink ref="N108" location="'1 FTCarne'!A50" tooltip="Ficha Técnica" display="FT"/>
    <hyperlink ref="N109" location="'6 FTsaladas&amp;legumes'!A1" tooltip="Ficha Técnica" display="FT"/>
    <hyperlink ref="N101" location="'2 FTPeixe'!A233" display="FT"/>
    <hyperlink ref="N102" location="'6 FTsaladas&amp;legumes'!A1" tooltip="Ficha Técnica" display="FT"/>
    <hyperlink ref="N86" location="'3 FTSopas'!A217" display="FT"/>
    <hyperlink ref="N87" location="'2 FTPeixe'!A223" display="FT"/>
    <hyperlink ref="N88" location="'6 FTsaladas&amp;legumes'!A9" display="FT"/>
    <hyperlink ref="N89" location="'5 FTsobremesas'!A38" display="FT"/>
    <hyperlink ref="N100" location="'3 FTSopas'!A89" display="FT"/>
    <hyperlink ref="N116" location="'2 FTPeixe'!A243" tooltip="Ficha Técnica" display="FT"/>
    <hyperlink ref="N115" location="'3 FTSopas'!A36" tooltip="Ficha Técnica" display="FT"/>
    <hyperlink ref="N122" location="'3 FTSopas'!A201" tooltip="Ficha Técnica" display="FT"/>
    <hyperlink ref="N118" location="'5 FTsobremesas'!A44" tooltip="Ficha Técnica" display="FT"/>
    <hyperlink ref="N132" location="'5 FTsobremesas'!A75" tooltip="Ficha Técnica" display="FT"/>
    <hyperlink ref="N117" location="'6 FTsaladas&amp;legumes'!A1" tooltip="Ficha Técnica" display="FT"/>
    <hyperlink ref="N123" location="'1 FTCarne'!A189" tooltip="Ficha Técnica" display="FT"/>
    <hyperlink ref="N124" location="'6 FTsaladas&amp;legumes'!A1" tooltip="Ficha Técnica" display="FT"/>
    <hyperlink ref="N130" location="'2 FTPeixe'!A254" tooltip="Ficha Técnica" display="FT"/>
    <hyperlink ref="N129" location="'3 FTSopas'!A60" tooltip="Ficha Técnica" display="FT"/>
    <hyperlink ref="N131" location="'6 FTsaladas&amp;legumes'!A1" tooltip="Ficha Técnica" display="FT"/>
    <hyperlink ref="N143" location="'3 FTSopas'!A178" tooltip="Ficha Técnica" display="FT"/>
    <hyperlink ref="N136" location="'3 FTSopas'!A232" tooltip="Ficha Técnica" display="FT"/>
    <hyperlink ref="N137" location="'1 FTCarne'!A84" tooltip="Ficha Técnica" display="FT"/>
    <hyperlink ref="N138" location="'6 FTsaladas&amp;legumes'!A1" tooltip="Ficha Técnica" display="FT"/>
    <hyperlink ref="N144" location="'2 FTPeixe'!A169" tooltip="Ficha Técnica" display="FT"/>
    <hyperlink ref="N145" location="'6 FTsaladas&amp;legumes'!A1" tooltip="Ficha Técnica" display="FT"/>
    <hyperlink ref="N152" location="'1 FTCarne'!A198" tooltip="Ficha Técnica" display="FT"/>
    <hyperlink ref="N166" location="'1 FTCarne'!A204" tooltip="Ficha Técnica" display="FT"/>
    <hyperlink ref="N151" location="'3 FTSopas'!A97" tooltip="Ficha Técnica" display="FT"/>
    <hyperlink ref="N158" location="'3 FTSopas'!A201" tooltip="Ficha Técnica" display="FT"/>
    <hyperlink ref="N165" location="'3 FTSopas'!A240" tooltip="Ficha Técnica" display="FT"/>
    <hyperlink ref="N153" location="'6 FTsaladas&amp;legumes'!A1" tooltip="Ficha Técnica" display="FT"/>
    <hyperlink ref="N167" location="'6 FTsaladas&amp;legumes'!A1" tooltip="Ficha Técnica" display="FT"/>
    <hyperlink ref="N172" location="'3 FTSopas'!A193" tooltip="Ficha Técnica" display="FT"/>
    <hyperlink ref="N179" location="'3 FTSopas'!A208" tooltip="Ficha Técnica" display="FT"/>
    <hyperlink ref="N174" location="'6 FTsaladas&amp;legumes'!A1" tooltip="Ficha Técnica" display="FT"/>
    <hyperlink ref="N181" location="'6 FTsaladas&amp;legumes'!A1" tooltip="Ficha Técnica" display="FT"/>
    <hyperlink ref="N180" location="'1 FTCarne'!A238" tooltip="Ficha Técnica" display="FT"/>
    <hyperlink ref="N173" location="'2 FTPeixe'!A62" tooltip="Ficha Técnica" display="FT"/>
    <hyperlink ref="N160" location="'6 FTsaladas&amp;legumes'!A1" tooltip="Ficha Técnica" display="FT"/>
    <hyperlink ref="N175" location="'5 FTsobremesas'!A77" tooltip="Ficha Técnica" display="FT"/>
    <hyperlink ref="N195" location="'1 FTCarne'!A214" tooltip="Ficha Técnica" display="FT"/>
    <hyperlink ref="N209" location="'1 FTCarne'!A58" tooltip="Ficha Técnica" display="FT"/>
    <hyperlink ref="N188" location="'2 FTPeixe'!A274" tooltip="Ficha Técnica" display="FT"/>
    <hyperlink ref="N187" location="'3 FTSopas'!A36" tooltip="Ficha Técnica" display="FT"/>
    <hyperlink ref="N194" location="'3 FTSopas'!A9" tooltip="Ficha Técnica" display="FT"/>
    <hyperlink ref="N215" location="'3 FTSopas'!A260" tooltip="Ficha Técnica" display="FT"/>
    <hyperlink ref="N204" location="'5 FTsobremesas'!A44" tooltip="Ficha Técnica" display="FT"/>
    <hyperlink ref="N218" location="'5 FTsobremesas'!A26" tooltip="Ficha Técnica" display="FT"/>
    <hyperlink ref="N189" location="'6 FTsaladas&amp;legumes'!A1" tooltip="Ficha Técnica" display="FT"/>
    <hyperlink ref="N201" location="'3 FTSopas'!A193" tooltip="Ficha Técnica" display="FT"/>
    <hyperlink ref="N208" location="'3 FTSopas'!A17" tooltip="Ficha Técnica" display="FT"/>
    <hyperlink ref="N216" location="'2 FTPeixe'!A284" tooltip="Ficha Técnica" display="FT"/>
    <hyperlink ref="N202" location="'2 FTPeixe'!A152" tooltip="Ficha Técnica" display="FT"/>
    <hyperlink ref="N224" location="'1 FTCarne'!A159" tooltip="Ficha Técnica" display="FT"/>
    <hyperlink ref="N223" location="'3 FTSopas'!A105" tooltip="Ficha Técnica" display="FT"/>
    <hyperlink ref="N238" location="'1 FTCarne'!A15" tooltip="Ficha Técnica" display="FT"/>
    <hyperlink ref="N237" location="'3 FTSopas'!A137" tooltip="Ficha Técnica" display="FT"/>
    <hyperlink ref="N247" location="'5 FTsobremesas'!A50" tooltip="Ficha Técnica" display="FT"/>
    <hyperlink ref="N245" location="'2 FTPeixe'!A19" tooltip="Ficha Técnica" display="FT"/>
    <hyperlink ref="N244" location="'3 FTSopas'!A186" tooltip="Ficha Técnica" display="FT"/>
    <hyperlink ref="N233" location="'5 FTsobremesas'!A20" tooltip="Ficha Técnica" display="FT"/>
    <hyperlink ref="N231" location="'2 FTPeixe'!A285" tooltip="Ficha Técnica" display="FT"/>
    <hyperlink ref="N230" location="'3 FTSopas'!A224" tooltip="Ficha Técnica" display="FT"/>
    <hyperlink ref="N252" location="'1 FTCarne'!A20" tooltip="Ficha Técnica" display="FT"/>
    <hyperlink ref="N251" location="'3 FTSopas'!A171" tooltip="Ficha Técnica" display="FT"/>
    <hyperlink ref="N262" location="'5 FTsobremesas'!A44" tooltip="Ficha Técnica" display="FT"/>
    <hyperlink ref="N276" location="'5 FTsobremesas'!A14" tooltip="Ficha Técnica" display="FT"/>
    <hyperlink ref="N273" location="'3 FTSopas'!A80" tooltip="Ficha Técnica" display="FT"/>
    <hyperlink ref="N288" location="'2 FTPeixe'!A40" tooltip="Ficha Técnica" display="FT"/>
    <hyperlink ref="N281" location="'1 FTCarne'!A38" tooltip="Ficha Técnica" display="FT"/>
    <hyperlink ref="N280" location="'3 FTSopas'!A178" tooltip="Ficha Técnica" display="FT"/>
    <hyperlink ref="N267" location="'1 FTCarne'!A33" tooltip="Ficha Técnica" display="FT"/>
    <hyperlink ref="N266" location="'3 FTSopas'!A270" tooltip="Ficha Técnica" display="FT"/>
    <hyperlink ref="N274" location="'2 FTPeixe'!A29" tooltip="Ficha Técnica" display="FT"/>
    <hyperlink ref="N260" location="'2 FTPeixe'!A292" tooltip="Ficha Técnica" display="FT"/>
    <hyperlink ref="N259" location="'3 FTSopas'!A112" tooltip="Ficha Técnica" display="FT"/>
    <hyperlink ref="N287" location="'3 FTSopas'!A89" tooltip="Ficha Técnica" display="FT"/>
    <hyperlink ref="N296" location="'1 FTCarne'!A8" tooltip="Ficha Técnica" display="FT"/>
    <hyperlink ref="N324" location="'1 FTCarne'!A58" tooltip="Ficha Técnica" display="FT"/>
    <hyperlink ref="N317" location="'2 FTPeixe'!A92" tooltip="Ficha Técnica" display="FT"/>
    <hyperlink ref="N295" location="'3 FTSopas'!A146" tooltip="Ficha Técnica" display="FT"/>
    <hyperlink ref="N302" location="'3 FTSopas'!A208" tooltip="Ficha Técnica" display="FT"/>
    <hyperlink ref="N309" location="'3 FTSopas'!A248" tooltip="Ficha Técnica" display="FT"/>
    <hyperlink ref="N316" location="'3 FTSopas'!A45" tooltip="Ficha Técnica" display="FT"/>
    <hyperlink ref="N312" location="'5 FTsobremesas'!A75" tooltip="Ficha Técnica" display="FT"/>
    <hyperlink ref="N303" location="'2 FTPeixe'!A52" tooltip="Ficha Técnica" display="FT"/>
    <hyperlink ref="N319" location="'5 FTsobremesas'!A50" display="FT"/>
    <hyperlink ref="N310" location="'1 FTCarne'!A132" tooltip="Ficha Técnica" display="FT"/>
    <hyperlink ref="N359" location="'3 FTSopas'!A312" tooltip="Ficha Técnica" display="FT"/>
    <hyperlink ref="N362" location="'5 FTsobremesas'!A38" tooltip="Ficha Técnica" display="FT"/>
    <hyperlink ref="N360" location="'2 FTPeixe'!A83" tooltip="Ficha Técnica" display="FT"/>
    <hyperlink ref="N352" location="'3 FTSopas'!A162" tooltip="Ficha Técnica" display="FT"/>
    <hyperlink ref="N419" location="'3 FTSopas'!A260" display="FT"/>
    <hyperlink ref="N406" location="'1 FTCarne'!A75" display="FT"/>
    <hyperlink ref="N408" location="'5 FTsobremesas'!A8" display="FT"/>
    <hyperlink ref="N405" location="'3 FTSopas'!A26" display="FT"/>
    <hyperlink ref="N420" location="'1 FTCarne'!A84" tooltip="Ficha Técnica" display="FT"/>
    <hyperlink ref="N412" location="'3 FTSopas'!A97" display="FT"/>
    <hyperlink ref="N413" location="'2 FTPeixe'!A100" display="FT"/>
    <hyperlink ref="N434" location="'1 FTCarne'!A89" display="FT"/>
    <hyperlink ref="N433" location="'3 FTSopas'!A52" display="FT"/>
    <hyperlink ref="N426" location="'3 FTSopas'!A201" tooltip="Ficha Técnica" display="FT"/>
    <hyperlink ref="N429" location="'5 FTsobremesas'!A50" tooltip="Ficha Técnica" display="FT"/>
    <hyperlink ref="N427" location="'2 FTPeixe'!A110" tooltip="Ficha Técnica" display="FT"/>
    <hyperlink ref="N442" location="'2 FTPeixe'!A121" tooltip="Ficha Técnica" display="FT"/>
    <hyperlink ref="N441" location="'3 FTSopas'!A105" tooltip="Ficha Técnica" display="FT"/>
    <hyperlink ref="N448" location="'3 FTSopas'!A17" tooltip="Ficha Técnica" display="FT"/>
    <hyperlink ref="N449" location="'1 FTCarne'!A98" tooltip="Ficha Técnica" display="FT"/>
    <hyperlink ref="N472" location="'5 FTsobremesas'!A54" tooltip="Ficha Técnica" display="FT"/>
    <hyperlink ref="N456" location="'2 FTPeixe'!A132" tooltip="Ficha Técnica" display="FT"/>
    <hyperlink ref="N455" location="'3 FTSopas'!A193" tooltip="Ficha Técnica" display="FT"/>
    <hyperlink ref="N469" location="'3 FTSopas'!A201" tooltip="Ficha Técnica" display="FT"/>
    <hyperlink ref="N462" location="'3 FTSopas'!A270" tooltip="Ficha Técnica" display="FT"/>
    <hyperlink ref="N463" location="'1 FTCarne'!A105" tooltip="Ficha Técnica" display="FT"/>
    <hyperlink ref="N470" location="'2 FTPeixe'!A144" tooltip="Ficha Técnica" display="FT"/>
    <hyperlink ref="N478" location="'1 FTCarne'!A113" tooltip="Ficha Técnica" display="FT"/>
    <hyperlink ref="N492" location="'1 FTCarne'!A223" tooltip="Ficha Técnica" display="FT"/>
    <hyperlink ref="N477" location="'3 FTSopas'!A137" tooltip="Ficha Técnica" display="FT"/>
    <hyperlink ref="N484" location="'3 FTSopas'!A69" tooltip="Ficha Técnica" display="FT"/>
    <hyperlink ref="N491" location="'3 FTSopas'!A36" tooltip="Ficha Técnica" display="FT"/>
    <hyperlink ref="N485" location="'2 FTPeixe'!A152" display="FT"/>
    <hyperlink ref="N487" location="'5 FTsobremesas'!A50" tooltip="Ficha Técnica" display="FT"/>
    <hyperlink ref="N501" location="'5 FTsobremesas'!A26" tooltip="Ficha Técnica" display="FT"/>
    <hyperlink ref="N498" location="'3 FTSopas'!A279" tooltip="Ficha Técnica" display="FT"/>
    <hyperlink ref="N499" location="'2 FTPeixe'!A169" tooltip="Ficha Técnica" display="FT"/>
    <hyperlink ref="N505" location="'3 FTSopas'!A80" tooltip="Ficha Técnica" display="FT"/>
    <hyperlink ref="N506" location="'1 FTCarne'!A149" tooltip="Ficha Técnica" display="FT"/>
    <hyperlink ref="N161" location="'5 FTsobremesas'!A50" tooltip="Ficha Técnica" display="FT"/>
    <hyperlink ref="N451" location="'5 FTsobremesas'!A54" tooltip="Ficha Técnica" display="FT"/>
    <hyperlink ref="N159" location="'2 FTPeixe'!A62" tooltip="Ficha Técnica" display="FT"/>
    <hyperlink ref="N46" location="'5 FTsobremesas'!A37" tooltip="Ficha Técnica" display="FT"/>
    <hyperlink ref="N43:N45" location="'3 FTSopas'!A33" tooltip="Ficha Técnica" display="FT"/>
    <hyperlink ref="N332" location="'2 FTPeixe'!A74" tooltip="Ficha Técnica" display="FT"/>
    <hyperlink ref="N331" location="'3 FTSopas'!A304" display="FT"/>
    <hyperlink ref="N339" location="'1 FTCarne'!A67" tooltip="Ficha Técnica" display="FT"/>
    <hyperlink ref="N338" location="'3 FTSopas'!A178" display="FT"/>
    <hyperlink ref="N346" location="'2 FTPeixe'!A298" tooltip="Ficha Técnica" display="FT"/>
    <hyperlink ref="N348" location="'5 FTsobremesas'!A44" tooltip="Ficha Técnica" display="FT"/>
    <hyperlink ref="N345" location="'3 FTSopas'!A60" display="FT"/>
    <hyperlink ref="N44" location="'2 FTPeixe'!A7" tooltip="Ficha Técnica" display="FT"/>
    <hyperlink ref="N43" location="'3 FTSopas'!A352" tooltip="Ficha Técnica" display="FT"/>
    <hyperlink ref="N323" location="'3 FTSopas'!A26" display="FT"/>
    <hyperlink ref="N45" location="'6 FTsaladas&amp;legumes'!A9" tooltip="Ficha Técnica" display="FT"/>
    <hyperlink ref="N52" location="'6 FTsaladas&amp;legumes'!A9" tooltip="Ficha Técnica" display="FT"/>
    <hyperlink ref="N196" location="'6 FTsaladas&amp;legumes'!A1" tooltip="Ficha Técnica" display="FT"/>
    <hyperlink ref="N203" location="'6 FTsaladas&amp;legumes'!A1" tooltip="Ficha Técnica" display="FT"/>
    <hyperlink ref="N210" location="'6 FTsaladas&amp;legumes'!A1" tooltip="Ficha Técnica" display="FT"/>
    <hyperlink ref="N217" location="'6 FTsaladas&amp;legumes'!A1" tooltip="Ficha Técnica" display="FT"/>
    <hyperlink ref="N225" location="'6 FTsaladas&amp;legumes'!A1" tooltip="Ficha Técnica" display="FT"/>
    <hyperlink ref="N232" location="'6 FTsaladas&amp;legumes'!A1" tooltip="Ficha Técnica" display="FT"/>
    <hyperlink ref="N239" location="'6 FTsaladas&amp;legumes'!A1" tooltip="Ficha Técnica" display="FT"/>
    <hyperlink ref="N246" location="'6 FTsaladas&amp;legumes'!A1" tooltip="Ficha Técnica" display="FT"/>
    <hyperlink ref="N253" location="'6 FTsaladas&amp;legumes'!A1" tooltip="Ficha Técnica" display="FT"/>
    <hyperlink ref="N261" location="'6 FTsaladas&amp;legumes'!A1" tooltip="Ficha Técnica" display="FT"/>
    <hyperlink ref="N268" location="'6 FTsaladas&amp;legumes'!A1" tooltip="Ficha Técnica" display="FT"/>
    <hyperlink ref="N275" location="'6 FTsaladas&amp;legumes'!A1" tooltip="Ficha Técnica" display="FT"/>
    <hyperlink ref="N282" location="'6 FTsaladas&amp;legumes'!A1" tooltip="Ficha Técnica" display="FT"/>
    <hyperlink ref="N289" location="'6 FTsaladas&amp;legumes'!A1" tooltip="Ficha Técnica" display="FT"/>
    <hyperlink ref="N297" location="'6 FTsaladas&amp;legumes'!A1" tooltip="Ficha Técnica" display="FT"/>
    <hyperlink ref="N304" location="'6 FTsaladas&amp;legumes'!A1" tooltip="Ficha Técnica" display="FT"/>
    <hyperlink ref="N311" location="'6 FTsaladas&amp;legumes'!A1" tooltip="Ficha Técnica" display="FT"/>
    <hyperlink ref="N318" location="'6 FTsaladas&amp;legumes'!A1" tooltip="Ficha Técnica" display="FT"/>
    <hyperlink ref="N325" location="'6 FTsaladas&amp;legumes'!A1" tooltip="Ficha Técnica" display="FT"/>
    <hyperlink ref="N333" location="'6 FTsaladas&amp;legumes'!A1" tooltip="Ficha Técnica" display="FT"/>
    <hyperlink ref="N340" location="'6 FTsaladas&amp;legumes'!A1" tooltip="Ficha Técnica" display="FT"/>
    <hyperlink ref="N347" location="'6 FTsaladas&amp;legumes'!A1" tooltip="Ficha Técnica" display="FT"/>
    <hyperlink ref="N354" location="'6 FTsaladas&amp;legumes'!A1" tooltip="Ficha Técnica" display="FT"/>
    <hyperlink ref="N361" location="'6 FTsaladas&amp;legumes'!A1" tooltip="Ficha Técnica" display="FT"/>
    <hyperlink ref="N407" location="'6 FTsaladas&amp;legumes'!A1" tooltip="Ficha Técnica" display="FT"/>
    <hyperlink ref="N414" location="'6 FTsaladas&amp;legumes'!A1" tooltip="Ficha Técnica" display="FT"/>
    <hyperlink ref="N421" location="'6 FTsaladas&amp;legumes'!A1" tooltip="Ficha Técnica" display="FT"/>
    <hyperlink ref="N428" location="'6 FTsaladas&amp;legumes'!A1" tooltip="Ficha Técnica" display="FT"/>
    <hyperlink ref="N435" location="'6 FTsaladas&amp;legumes'!A1" tooltip="Ficha Técnica" display="FT"/>
    <hyperlink ref="N443" location="'6 FTsaladas&amp;legumes'!A1" tooltip="Ficha Técnica" display="FT"/>
    <hyperlink ref="N450" location="'6 FTsaladas&amp;legumes'!A1" tooltip="Ficha Técnica" display="FT"/>
    <hyperlink ref="N457" location="'6 FTsaladas&amp;legumes'!A1" tooltip="Ficha Técnica" display="FT"/>
    <hyperlink ref="N464" location="'6 FTsaladas&amp;legumes'!A1" tooltip="Ficha Técnica" display="FT"/>
    <hyperlink ref="N471" location="'6 FTsaladas&amp;legumes'!A1" tooltip="Ficha Técnica" display="FT"/>
    <hyperlink ref="N479" location="'6 FTsaladas&amp;legumes'!A1" tooltip="Ficha Técnica" display="FT"/>
    <hyperlink ref="N486" location="'6 FTsaladas&amp;legumes'!A1" tooltip="Ficha Técnica" display="FT"/>
    <hyperlink ref="N493" location="'6 FTsaladas&amp;legumes'!A1" tooltip="Ficha Técnica" display="FT"/>
    <hyperlink ref="N500" location="'6 FTsaladas&amp;legumes'!A1" tooltip="Ficha Técnica" display="FT"/>
    <hyperlink ref="N507" location="'6 FTsaladas&amp;legumes'!A1" tooltip="Ficha Técnica" display="FT"/>
    <hyperlink ref="N60" location="'5 FTsobremesas'!A54" tooltip="Ficha Técnica" display="FT"/>
    <hyperlink ref="N67" location="'5 FTsobremesas'!A54" tooltip="Ficha Técnica" display="FT"/>
    <hyperlink ref="N82" location="'5 FTsobremesas'!A54" tooltip="Ficha Técnica" display="FT"/>
    <hyperlink ref="N96" location="'5 FTsobremesas'!A54" tooltip="Ficha Técnica" display="FT"/>
    <hyperlink ref="N110" location="'5 FTsobremesas'!A54" tooltip="Ficha Técnica" display="FT"/>
    <hyperlink ref="N125" location="'5 FTsobremesas'!A54" tooltip="Ficha Técnica" display="FT"/>
    <hyperlink ref="N139" location="'5 FTsobremesas'!A54" tooltip="Ficha Técnica" display="FT"/>
    <hyperlink ref="N146" location="'5 FTsobremesas'!A54" tooltip="Ficha Técnica" display="FT"/>
    <hyperlink ref="N154" location="'5 FTsobremesas'!A54" tooltip="Ficha Técnica" display="FT"/>
    <hyperlink ref="N168" location="'5 FTsobremesas'!A54" tooltip="Ficha Técnica" display="FT"/>
    <hyperlink ref="N182" location="'5 FTsobremesas'!A54" tooltip="Ficha Técnica" display="FT"/>
    <hyperlink ref="N190" location="'5 FTsobremesas'!A54" tooltip="Ficha Técnica" display="FT"/>
    <hyperlink ref="N197" location="'5 FTsobremesas'!A54" tooltip="Ficha Técnica" display="FT"/>
    <hyperlink ref="N211" location="'5 FTsobremesas'!A54" tooltip="Ficha Técnica" display="FT"/>
    <hyperlink ref="N226" location="'5 FTsobremesas'!A54" tooltip="Ficha Técnica" display="FT"/>
    <hyperlink ref="N240" location="'5 FTsobremesas'!A54" tooltip="Ficha Técnica" display="FT"/>
    <hyperlink ref="N254" location="'5 FTsobremesas'!A54" tooltip="Ficha Técnica" display="FT"/>
    <hyperlink ref="N269" location="'5 FTsobremesas'!A54" tooltip="Ficha Técnica" display="FT"/>
    <hyperlink ref="N283" location="'5 FTsobremesas'!A54" tooltip="Ficha Técnica" display="FT"/>
    <hyperlink ref="N290" location="'5 FTsobremesas'!A54" tooltip="Ficha Técnica" display="FT"/>
    <hyperlink ref="N298" location="'5 FTsobremesas'!A54" tooltip="Ficha Técnica" display="FT"/>
    <hyperlink ref="N305" location="'5 FTsobremesas'!A54" tooltip="Ficha Técnica" display="FT"/>
    <hyperlink ref="N326" location="'5 FTsobremesas'!A54" tooltip="Ficha Técnica" display="FT"/>
    <hyperlink ref="N334" location="'5 FTsobremesas'!A54" tooltip="Ficha Técnica" display="FT"/>
    <hyperlink ref="N341" location="'5 FTsobremesas'!A54" tooltip="Ficha Técnica" display="FT"/>
    <hyperlink ref="N355" location="'5 FTsobremesas'!A54" tooltip="Ficha Técnica" display="FT"/>
    <hyperlink ref="N415" location="'5 FTsobremesas'!A54" tooltip="Ficha Técnica" display="FT"/>
    <hyperlink ref="N436" location="'5 FTsobremesas'!A8" tooltip="Ficha Técnica" display="FT"/>
    <hyperlink ref="N444" location="'5 FTsobremesas'!A44" tooltip="Ficha Técnica" display="FT"/>
    <hyperlink ref="N458" location="'5 FTsobremesas'!A54" tooltip="Ficha Técnica" display="FT"/>
    <hyperlink ref="N465" location="'5 FTsobremesas'!A20" tooltip="Ficha Técnica" display="FT"/>
    <hyperlink ref="N480" location="'5 FTsobremesas'!A54" tooltip="Ficha Técnica" display="FT"/>
    <hyperlink ref="N494" location="'5 FTsobremesas'!A54" tooltip="Ficha Técnica" display="FT"/>
    <hyperlink ref="N508" location="'5 FTsobremesas'!A54" tooltip="Ficha Técnica" display="FT"/>
    <hyperlink ref="N422" location="'5 FTsobremesas'!A54" tooltip="Ficha Técnica" display="FT"/>
    <hyperlink ref="N517" location="'5 FTsobremesas'!A54" tooltip="Ficha Técnica" display="FT"/>
    <hyperlink ref="N524" location="'5 FTsobremesas'!A50" tooltip="Ficha Técnica" display="FT"/>
    <hyperlink ref="N538" location="'5 FTsobremesas'!A54" tooltip="Ficha Técnica" display="FT"/>
    <hyperlink ref="N545" location="'5 FTsobremesas'!A10" tooltip="Ficha Técnica" display="FT"/>
    <hyperlink ref="N531" location="'5 FTsobremesas'!A54" tooltip="Ficha Técnica" display="FT"/>
    <hyperlink ref="N528" location="'3 FTSopas'!A137" tooltip="Ficha Técnica" display="FT"/>
    <hyperlink ref="N543" location="'2 FTPeixe'!A52" tooltip="Ficha Técnica" display="FT"/>
    <hyperlink ref="N544" location="'6 FTsaladas&amp;legumes'!A1" tooltip="Ficha Técnica" display="FT"/>
    <hyperlink ref="N536" location="'1 FTCarne'!A84" tooltip="Ficha Técnica" display="FT"/>
    <hyperlink ref="N537" location="'6 FTsaladas&amp;legumes'!A1" tooltip="Ficha Técnica" display="FT"/>
    <hyperlink ref="N535" location="'3 FTSopas'!A359" tooltip="Ficha Técnica" display="FT"/>
    <hyperlink ref="N522" location="'1 FTCarne'!A129" tooltip="Ficha Técnica" display="FT"/>
    <hyperlink ref="N523" location="'6 FTsaladas&amp;legumes'!A1" tooltip="Ficha Técnica" display="FT"/>
    <hyperlink ref="N521" location="'3 FTSopas'!A193" tooltip="Ficha Técnica" display="FT"/>
    <hyperlink ref="N529" location="'2 FTPeixe'!A181" tooltip="Ficha Técnica" display="FT"/>
    <hyperlink ref="N515" location="'2 FTPeixe'!A179" tooltip="Ficha Técnica" display="FT"/>
    <hyperlink ref="N516" location="'6 FTsaladas&amp;legumes'!A1" tooltip="Ficha Técnica" display="FT"/>
    <hyperlink ref="N530" location="'6 FTsaladas&amp;legumes'!A1" tooltip="Ficha Técnica" display="FT"/>
    <hyperlink ref="N514" location="'3 FTSopas'!A319" tooltip="Ficha Técnica" display="FT"/>
    <hyperlink ref="N542" location="'3 FTSopas'!A60" tooltip="Ficha Técnica" display="FT"/>
    <hyperlink ref="N553" location="'5 FTsobremesas'!A54" tooltip="Ficha Técnica" display="FT"/>
    <hyperlink ref="N560" location="'5 FTsobremesas'!A54" tooltip="Ficha Técnica" display="FT"/>
    <hyperlink ref="N574" location="'5 FTsobremesas'!A54" tooltip="Ficha Técnica" display="FT"/>
    <hyperlink ref="N581" location="'5 FTsobremesas'!A54" tooltip="Ficha Técnica" display="FT"/>
    <hyperlink ref="N567" location="'5 FTsobremesas'!A44" tooltip="Ficha Técnica" display="FT"/>
    <hyperlink ref="N564" location="'3 FTSopas'!A336" tooltip="Ficha Técnica" display="FT"/>
    <hyperlink ref="N579" location="'1 FTCarne'!A145" tooltip="Ficha Técnica" display="FT"/>
    <hyperlink ref="N580" location="'6 FTsaladas&amp;legumes'!A1" tooltip="Ficha Técnica" display="FT"/>
    <hyperlink ref="N572" location="'1 FTCarne'!A183" tooltip="Ficha Técnica" display="FT"/>
    <hyperlink ref="N573" location="'6 FTsaladas&amp;legumes'!A1" tooltip="Ficha Técnica" display="FT"/>
    <hyperlink ref="N571" location="'3 FTSopas'!A344" tooltip="Ficha Técnica" display="FT"/>
    <hyperlink ref="N558" location="'1 FTCarne'!A100" tooltip="Ficha Técnica" display="FT"/>
    <hyperlink ref="N559" location="'6 FTsaladas&amp;legumes'!A1" tooltip="Ficha Técnica" display="FT"/>
    <hyperlink ref="N557" location="'3 FTSopas'!A329" tooltip="Ficha Técnica" display="FT"/>
    <hyperlink ref="N565" location="'2 FTPeixe'!A98" tooltip="Ficha Técnica" display="FT"/>
    <hyperlink ref="N551" location="'2 FTPeixe'!A136" tooltip="Ficha Técnica" display="FT"/>
    <hyperlink ref="N552" location="'6 FTsaladas&amp;legumes'!A1" tooltip="Ficha Técnica" display="FT"/>
    <hyperlink ref="N566" location="'6 FTsaladas&amp;legumes'!A1" tooltip="Ficha Técnica" display="FT"/>
    <hyperlink ref="N550" location="'3 FTSopas'!A97" tooltip="Ficha Técnica" display="FT"/>
    <hyperlink ref="N578" location="'3 FTSopas'!A89" tooltip="Ficha Técnica" display="FT"/>
  </hyperlinks>
  <printOptions horizontalCentered="1" verticalCentered="1"/>
  <pageMargins left="0.74803149606299213" right="0.74803149606299213" top="0.19685039370078741" bottom="0" header="0" footer="0"/>
  <pageSetup paperSize="9" scale="55" orientation="portrait" r:id="rId1"/>
  <headerFooter alignWithMargins="0"/>
  <rowBreaks count="13" manualBreakCount="13">
    <brk id="76" max="12" man="1"/>
    <brk id="112" max="12" man="1"/>
    <brk id="148" max="12" man="1"/>
    <brk id="184" max="12" man="1"/>
    <brk id="220" max="12" man="1"/>
    <brk id="256" max="12" man="1"/>
    <brk id="292" max="12" man="1"/>
    <brk id="328" max="12" man="1"/>
    <brk id="398" max="12" man="1"/>
    <brk id="438" max="12" man="1"/>
    <brk id="474" max="12" man="1"/>
    <brk id="510" max="12" man="1"/>
    <brk id="547" max="12" man="1"/>
  </rowBreaks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297"/>
  <sheetViews>
    <sheetView showGridLines="0" topLeftCell="A145" zoomScale="110" zoomScaleNormal="110" workbookViewId="0">
      <selection activeCell="A145" sqref="A145"/>
    </sheetView>
  </sheetViews>
  <sheetFormatPr defaultRowHeight="12.75"/>
  <cols>
    <col min="1" max="1" width="16.5703125" customWidth="1"/>
    <col min="2" max="2" width="58.28515625" customWidth="1"/>
    <col min="3" max="3" width="31.5703125" customWidth="1"/>
    <col min="4" max="4" width="34" customWidth="1"/>
    <col min="5" max="5" width="72.28515625" customWidth="1"/>
  </cols>
  <sheetData>
    <row r="5" spans="1:5" ht="18">
      <c r="A5" s="169" t="s">
        <v>321</v>
      </c>
      <c r="B5" s="169"/>
      <c r="C5" s="169"/>
      <c r="D5" s="169"/>
      <c r="E5" s="169"/>
    </row>
    <row r="6" spans="1:5" ht="13.5" thickBot="1"/>
    <row r="7" spans="1:5" s="7" customFormat="1" ht="36" customHeight="1" thickTop="1" thickBot="1">
      <c r="A7" s="52" t="s">
        <v>318</v>
      </c>
      <c r="B7" s="52" t="s">
        <v>319</v>
      </c>
      <c r="C7" s="52" t="s">
        <v>316</v>
      </c>
      <c r="D7" s="52" t="s">
        <v>317</v>
      </c>
      <c r="E7" s="52" t="s">
        <v>320</v>
      </c>
    </row>
    <row r="8" spans="1:5" ht="23.25" customHeight="1" thickTop="1">
      <c r="A8" s="78" t="s">
        <v>547</v>
      </c>
      <c r="B8" s="78" t="s">
        <v>329</v>
      </c>
      <c r="C8" s="81" t="s">
        <v>518</v>
      </c>
      <c r="D8" s="81" t="s">
        <v>519</v>
      </c>
      <c r="E8" s="81" t="s">
        <v>767</v>
      </c>
    </row>
    <row r="9" spans="1:5" ht="15">
      <c r="A9" s="80"/>
      <c r="B9" s="80"/>
      <c r="C9" s="81" t="s">
        <v>666</v>
      </c>
      <c r="D9" s="81" t="s">
        <v>496</v>
      </c>
      <c r="E9" s="81"/>
    </row>
    <row r="10" spans="1:5" ht="15">
      <c r="A10" s="80"/>
      <c r="B10" s="80"/>
      <c r="C10" s="81" t="s">
        <v>477</v>
      </c>
      <c r="D10" s="81" t="s">
        <v>496</v>
      </c>
      <c r="E10" s="81"/>
    </row>
    <row r="11" spans="1:5" ht="15">
      <c r="A11" s="80"/>
      <c r="B11" s="80"/>
      <c r="C11" s="81" t="s">
        <v>478</v>
      </c>
      <c r="D11" s="81" t="s">
        <v>485</v>
      </c>
      <c r="E11" s="81"/>
    </row>
    <row r="12" spans="1:5" ht="15">
      <c r="A12" s="80"/>
      <c r="B12" s="80"/>
      <c r="C12" s="81" t="s">
        <v>479</v>
      </c>
      <c r="D12" s="81" t="s">
        <v>667</v>
      </c>
      <c r="E12" s="81"/>
    </row>
    <row r="13" spans="1:5" ht="15">
      <c r="A13" s="80"/>
      <c r="B13" s="80"/>
      <c r="C13" s="81" t="s">
        <v>497</v>
      </c>
      <c r="D13" s="81" t="s">
        <v>487</v>
      </c>
      <c r="E13" s="81"/>
    </row>
    <row r="14" spans="1:5" ht="15.75" thickBot="1">
      <c r="A14" s="80"/>
      <c r="B14" s="80"/>
      <c r="C14" s="81" t="s">
        <v>498</v>
      </c>
      <c r="D14" s="81" t="s">
        <v>487</v>
      </c>
      <c r="E14" s="81"/>
    </row>
    <row r="15" spans="1:5" ht="15" customHeight="1" thickTop="1">
      <c r="A15" s="83" t="s">
        <v>331</v>
      </c>
      <c r="B15" s="83" t="s">
        <v>768</v>
      </c>
      <c r="C15" s="90" t="s">
        <v>507</v>
      </c>
      <c r="D15" s="90" t="s">
        <v>509</v>
      </c>
      <c r="E15" s="91" t="s">
        <v>769</v>
      </c>
    </row>
    <row r="16" spans="1:5" ht="12.75" customHeight="1">
      <c r="A16" s="85"/>
      <c r="B16" s="85"/>
      <c r="C16" s="85" t="s">
        <v>479</v>
      </c>
      <c r="D16" s="85" t="s">
        <v>667</v>
      </c>
      <c r="E16" s="85"/>
    </row>
    <row r="17" spans="1:5" ht="12.75" customHeight="1">
      <c r="A17" s="85"/>
      <c r="B17" s="85"/>
      <c r="C17" s="85" t="s">
        <v>492</v>
      </c>
      <c r="D17" s="85" t="s">
        <v>487</v>
      </c>
      <c r="E17" s="85"/>
    </row>
    <row r="18" spans="1:5" ht="12.75" customHeight="1">
      <c r="A18" s="85"/>
      <c r="B18" s="85"/>
      <c r="C18" s="85" t="s">
        <v>480</v>
      </c>
      <c r="D18" s="85" t="s">
        <v>487</v>
      </c>
      <c r="E18" s="85"/>
    </row>
    <row r="19" spans="1:5" ht="12.75" customHeight="1" thickBot="1">
      <c r="A19" s="85"/>
      <c r="B19" s="85"/>
      <c r="C19" s="85" t="s">
        <v>498</v>
      </c>
      <c r="D19" s="85" t="s">
        <v>487</v>
      </c>
      <c r="E19" s="85"/>
    </row>
    <row r="20" spans="1:5" ht="12.75" customHeight="1" thickTop="1">
      <c r="A20" s="86" t="s">
        <v>332</v>
      </c>
      <c r="B20" s="86" t="s">
        <v>770</v>
      </c>
      <c r="C20" s="87" t="s">
        <v>488</v>
      </c>
      <c r="D20" s="87" t="s">
        <v>493</v>
      </c>
      <c r="E20" s="87" t="s">
        <v>771</v>
      </c>
    </row>
    <row r="21" spans="1:5" ht="13.5" customHeight="1">
      <c r="A21" s="81"/>
      <c r="B21" s="81"/>
      <c r="C21" s="81" t="s">
        <v>440</v>
      </c>
      <c r="D21" s="81" t="s">
        <v>493</v>
      </c>
      <c r="E21" s="81"/>
    </row>
    <row r="22" spans="1:5" ht="12.75" customHeight="1">
      <c r="A22" s="81"/>
      <c r="B22" s="81"/>
      <c r="C22" s="81" t="s">
        <v>408</v>
      </c>
      <c r="D22" s="81">
        <v>80</v>
      </c>
      <c r="E22" s="81"/>
    </row>
    <row r="23" spans="1:5" ht="12.75" customHeight="1">
      <c r="A23" s="81"/>
      <c r="B23" s="81"/>
      <c r="C23" s="81" t="s">
        <v>327</v>
      </c>
      <c r="D23" s="81" t="s">
        <v>493</v>
      </c>
      <c r="E23" s="81"/>
    </row>
    <row r="24" spans="1:5" ht="12.75" customHeight="1">
      <c r="A24" s="81"/>
      <c r="B24" s="81"/>
      <c r="C24" s="81" t="s">
        <v>489</v>
      </c>
      <c r="D24" s="81">
        <v>50</v>
      </c>
      <c r="E24" s="81"/>
    </row>
    <row r="25" spans="1:5" ht="12.75" customHeight="1">
      <c r="A25" s="81"/>
      <c r="B25" s="81"/>
      <c r="C25" s="81" t="s">
        <v>364</v>
      </c>
      <c r="D25" s="81" t="s">
        <v>494</v>
      </c>
      <c r="E25" s="81"/>
    </row>
    <row r="26" spans="1:5" ht="12.75" customHeight="1">
      <c r="A26" s="81"/>
      <c r="B26" s="81"/>
      <c r="C26" s="81" t="s">
        <v>666</v>
      </c>
      <c r="D26" s="81" t="s">
        <v>496</v>
      </c>
      <c r="E26" s="81"/>
    </row>
    <row r="27" spans="1:5" ht="12.75" customHeight="1">
      <c r="A27" s="81"/>
      <c r="B27" s="81"/>
      <c r="C27" s="81" t="s">
        <v>477</v>
      </c>
      <c r="D27" s="81" t="s">
        <v>496</v>
      </c>
      <c r="E27" s="81"/>
    </row>
    <row r="28" spans="1:5" ht="13.5" customHeight="1">
      <c r="A28" s="81"/>
      <c r="B28" s="81"/>
      <c r="C28" s="81" t="s">
        <v>491</v>
      </c>
      <c r="D28" s="81" t="s">
        <v>496</v>
      </c>
      <c r="E28" s="81"/>
    </row>
    <row r="29" spans="1:5" ht="15">
      <c r="A29" s="81"/>
      <c r="B29" s="81"/>
      <c r="C29" s="81" t="s">
        <v>478</v>
      </c>
      <c r="D29" s="81" t="s">
        <v>485</v>
      </c>
      <c r="E29" s="81"/>
    </row>
    <row r="30" spans="1:5" ht="15.75" customHeight="1">
      <c r="A30" s="81"/>
      <c r="B30" s="81"/>
      <c r="C30" s="81" t="s">
        <v>479</v>
      </c>
      <c r="D30" s="81" t="s">
        <v>667</v>
      </c>
      <c r="E30" s="81"/>
    </row>
    <row r="31" spans="1:5" ht="15">
      <c r="A31" s="81"/>
      <c r="B31" s="81"/>
      <c r="C31" s="81" t="s">
        <v>480</v>
      </c>
      <c r="D31" s="81" t="s">
        <v>487</v>
      </c>
      <c r="E31" s="81"/>
    </row>
    <row r="32" spans="1:5" ht="15.75" thickBot="1">
      <c r="A32" s="81"/>
      <c r="B32" s="81"/>
      <c r="C32" s="81" t="s">
        <v>502</v>
      </c>
      <c r="D32" s="81" t="s">
        <v>487</v>
      </c>
      <c r="E32" s="81"/>
    </row>
    <row r="33" spans="1:5" ht="45.75" thickTop="1">
      <c r="A33" s="83" t="s">
        <v>550</v>
      </c>
      <c r="B33" s="83" t="s">
        <v>772</v>
      </c>
      <c r="C33" s="90" t="s">
        <v>440</v>
      </c>
      <c r="D33" s="90" t="s">
        <v>481</v>
      </c>
      <c r="E33" s="91" t="s">
        <v>542</v>
      </c>
    </row>
    <row r="34" spans="1:5" ht="15">
      <c r="A34" s="85"/>
      <c r="B34" s="85"/>
      <c r="C34" s="85" t="s">
        <v>666</v>
      </c>
      <c r="D34" s="85" t="s">
        <v>496</v>
      </c>
      <c r="E34" s="85"/>
    </row>
    <row r="35" spans="1:5" ht="15">
      <c r="A35" s="85"/>
      <c r="B35" s="85"/>
      <c r="C35" s="85" t="s">
        <v>477</v>
      </c>
      <c r="D35" s="85" t="s">
        <v>496</v>
      </c>
      <c r="E35" s="85"/>
    </row>
    <row r="36" spans="1:5" ht="15">
      <c r="A36" s="85"/>
      <c r="B36" s="85"/>
      <c r="C36" s="85" t="s">
        <v>478</v>
      </c>
      <c r="D36" s="85" t="s">
        <v>485</v>
      </c>
      <c r="E36" s="85"/>
    </row>
    <row r="37" spans="1:5" ht="15.75" thickBot="1">
      <c r="A37" s="85"/>
      <c r="B37" s="85"/>
      <c r="C37" s="85" t="s">
        <v>479</v>
      </c>
      <c r="D37" s="85" t="s">
        <v>667</v>
      </c>
      <c r="E37" s="85"/>
    </row>
    <row r="38" spans="1:5" ht="15.75" customHeight="1" thickTop="1">
      <c r="A38" s="86" t="s">
        <v>554</v>
      </c>
      <c r="B38" s="86" t="s">
        <v>773</v>
      </c>
      <c r="C38" s="87" t="s">
        <v>536</v>
      </c>
      <c r="D38" s="87" t="s">
        <v>481</v>
      </c>
      <c r="E38" s="87" t="s">
        <v>774</v>
      </c>
    </row>
    <row r="39" spans="1:5" ht="15">
      <c r="A39" s="81"/>
      <c r="B39" s="81"/>
      <c r="C39" s="81" t="s">
        <v>517</v>
      </c>
      <c r="D39" s="81" t="s">
        <v>494</v>
      </c>
      <c r="E39" s="81"/>
    </row>
    <row r="40" spans="1:5" ht="15">
      <c r="A40" s="81"/>
      <c r="B40" s="81"/>
      <c r="C40" s="81" t="s">
        <v>477</v>
      </c>
      <c r="D40" s="81" t="s">
        <v>496</v>
      </c>
      <c r="E40" s="81"/>
    </row>
    <row r="41" spans="1:5" ht="15">
      <c r="A41" s="81"/>
      <c r="B41" s="81"/>
      <c r="C41" s="81" t="s">
        <v>530</v>
      </c>
      <c r="D41" s="81" t="s">
        <v>495</v>
      </c>
      <c r="E41" s="81"/>
    </row>
    <row r="42" spans="1:5" ht="15">
      <c r="A42" s="81"/>
      <c r="B42" s="81"/>
      <c r="C42" s="81" t="s">
        <v>479</v>
      </c>
      <c r="D42" s="81" t="s">
        <v>667</v>
      </c>
      <c r="E42" s="81"/>
    </row>
    <row r="43" spans="1:5" ht="15.75" thickBot="1">
      <c r="A43" s="81"/>
      <c r="B43" s="81"/>
      <c r="C43" s="81" t="s">
        <v>480</v>
      </c>
      <c r="D43" s="81" t="s">
        <v>487</v>
      </c>
      <c r="E43" s="81"/>
    </row>
    <row r="44" spans="1:5" ht="105.75" thickTop="1">
      <c r="A44" s="83" t="s">
        <v>557</v>
      </c>
      <c r="B44" s="83" t="s">
        <v>330</v>
      </c>
      <c r="C44" s="90" t="s">
        <v>775</v>
      </c>
      <c r="D44" s="90" t="s">
        <v>493</v>
      </c>
      <c r="E44" s="91" t="s">
        <v>776</v>
      </c>
    </row>
    <row r="45" spans="1:5" ht="15">
      <c r="A45" s="85"/>
      <c r="B45" s="85"/>
      <c r="C45" s="85" t="s">
        <v>514</v>
      </c>
      <c r="D45" s="85" t="s">
        <v>493</v>
      </c>
      <c r="E45" s="85"/>
    </row>
    <row r="46" spans="1:5" ht="15">
      <c r="A46" s="85"/>
      <c r="B46" s="85"/>
      <c r="C46" s="85" t="s">
        <v>440</v>
      </c>
      <c r="D46" s="85" t="s">
        <v>525</v>
      </c>
      <c r="E46" s="85"/>
    </row>
    <row r="47" spans="1:5" ht="15">
      <c r="A47" s="85"/>
      <c r="B47" s="85"/>
      <c r="C47" s="85" t="s">
        <v>408</v>
      </c>
      <c r="D47" s="85" t="s">
        <v>525</v>
      </c>
      <c r="E47" s="85"/>
    </row>
    <row r="48" spans="1:5" ht="15">
      <c r="A48" s="85"/>
      <c r="B48" s="85"/>
      <c r="C48" s="85" t="s">
        <v>520</v>
      </c>
      <c r="D48" s="85" t="s">
        <v>526</v>
      </c>
      <c r="E48" s="85"/>
    </row>
    <row r="49" spans="1:5" ht="15">
      <c r="A49" s="85"/>
      <c r="B49" s="85"/>
      <c r="C49" s="85" t="s">
        <v>477</v>
      </c>
      <c r="D49" s="85" t="s">
        <v>496</v>
      </c>
      <c r="E49" s="85"/>
    </row>
    <row r="50" spans="1:5" ht="15.75" customHeight="1">
      <c r="A50" s="85"/>
      <c r="B50" s="85"/>
      <c r="C50" s="85" t="s">
        <v>521</v>
      </c>
      <c r="D50" s="85" t="s">
        <v>484</v>
      </c>
      <c r="E50" s="85"/>
    </row>
    <row r="51" spans="1:5" ht="15">
      <c r="A51" s="85"/>
      <c r="B51" s="85"/>
      <c r="C51" s="85" t="s">
        <v>522</v>
      </c>
      <c r="D51" s="85" t="s">
        <v>495</v>
      </c>
      <c r="E51" s="85"/>
    </row>
    <row r="52" spans="1:5" ht="15">
      <c r="A52" s="85"/>
      <c r="B52" s="85"/>
      <c r="C52" s="85" t="s">
        <v>523</v>
      </c>
      <c r="D52" s="85" t="s">
        <v>496</v>
      </c>
      <c r="E52" s="85"/>
    </row>
    <row r="53" spans="1:5" ht="15">
      <c r="A53" s="85"/>
      <c r="B53" s="85"/>
      <c r="C53" s="85" t="s">
        <v>478</v>
      </c>
      <c r="D53" s="85" t="s">
        <v>485</v>
      </c>
      <c r="E53" s="85"/>
    </row>
    <row r="54" spans="1:5" ht="15">
      <c r="A54" s="85"/>
      <c r="B54" s="85"/>
      <c r="C54" s="85" t="s">
        <v>479</v>
      </c>
      <c r="D54" s="85" t="s">
        <v>667</v>
      </c>
      <c r="E54" s="85"/>
    </row>
    <row r="55" spans="1:5" ht="15">
      <c r="A55" s="85"/>
      <c r="B55" s="85"/>
      <c r="C55" s="85" t="s">
        <v>480</v>
      </c>
      <c r="D55" s="85" t="s">
        <v>487</v>
      </c>
      <c r="E55" s="85"/>
    </row>
    <row r="56" spans="1:5" ht="15">
      <c r="A56" s="85"/>
      <c r="B56" s="85"/>
      <c r="C56" s="85" t="s">
        <v>502</v>
      </c>
      <c r="D56" s="85" t="s">
        <v>487</v>
      </c>
      <c r="E56" s="85"/>
    </row>
    <row r="57" spans="1:5" ht="30.75" customHeight="1" thickBot="1">
      <c r="A57" s="85"/>
      <c r="B57" s="85"/>
      <c r="C57" s="85" t="s">
        <v>524</v>
      </c>
      <c r="D57" s="85" t="s">
        <v>487</v>
      </c>
      <c r="E57" s="85"/>
    </row>
    <row r="58" spans="1:5" ht="90.75" thickTop="1">
      <c r="A58" s="86" t="s">
        <v>558</v>
      </c>
      <c r="B58" s="86" t="s">
        <v>777</v>
      </c>
      <c r="C58" s="87" t="s">
        <v>533</v>
      </c>
      <c r="D58" s="87" t="s">
        <v>481</v>
      </c>
      <c r="E58" s="87" t="s">
        <v>778</v>
      </c>
    </row>
    <row r="59" spans="1:5" ht="15">
      <c r="A59" s="81"/>
      <c r="B59" s="81"/>
      <c r="C59" s="81" t="s">
        <v>477</v>
      </c>
      <c r="D59" s="81" t="s">
        <v>496</v>
      </c>
      <c r="E59" s="81"/>
    </row>
    <row r="60" spans="1:5" ht="15">
      <c r="A60" s="81"/>
      <c r="B60" s="81"/>
      <c r="C60" s="81" t="s">
        <v>478</v>
      </c>
      <c r="D60" s="81" t="s">
        <v>485</v>
      </c>
      <c r="E60" s="81"/>
    </row>
    <row r="61" spans="1:5" ht="15">
      <c r="A61" s="81"/>
      <c r="B61" s="81"/>
      <c r="C61" s="81" t="s">
        <v>479</v>
      </c>
      <c r="D61" s="81" t="s">
        <v>667</v>
      </c>
      <c r="E61" s="81"/>
    </row>
    <row r="62" spans="1:5" ht="15">
      <c r="A62" s="81"/>
      <c r="B62" s="81"/>
      <c r="C62" s="81" t="s">
        <v>480</v>
      </c>
      <c r="D62" s="81" t="s">
        <v>487</v>
      </c>
      <c r="E62" s="81"/>
    </row>
    <row r="63" spans="1:5" ht="15">
      <c r="A63" s="81"/>
      <c r="B63" s="81"/>
      <c r="C63" s="81" t="s">
        <v>492</v>
      </c>
      <c r="D63" s="81" t="s">
        <v>487</v>
      </c>
      <c r="E63" s="81"/>
    </row>
    <row r="64" spans="1:5" ht="15">
      <c r="A64" s="81"/>
      <c r="B64" s="81"/>
      <c r="C64" s="81" t="s">
        <v>534</v>
      </c>
      <c r="D64" s="81" t="s">
        <v>487</v>
      </c>
      <c r="E64" s="81"/>
    </row>
    <row r="65" spans="1:5" ht="15">
      <c r="A65" s="81"/>
      <c r="B65" s="81"/>
      <c r="C65" s="81" t="s">
        <v>535</v>
      </c>
      <c r="D65" s="81" t="s">
        <v>487</v>
      </c>
      <c r="E65" s="81"/>
    </row>
    <row r="66" spans="1:5" ht="72.75" customHeight="1" thickBot="1">
      <c r="A66" s="81"/>
      <c r="B66" s="81"/>
      <c r="C66" s="81" t="s">
        <v>497</v>
      </c>
      <c r="D66" s="81" t="s">
        <v>487</v>
      </c>
      <c r="E66" s="81"/>
    </row>
    <row r="67" spans="1:5" ht="90.75" thickTop="1">
      <c r="A67" s="83" t="s">
        <v>333</v>
      </c>
      <c r="B67" s="83" t="s">
        <v>779</v>
      </c>
      <c r="C67" s="90" t="s">
        <v>440</v>
      </c>
      <c r="D67" s="90" t="s">
        <v>481</v>
      </c>
      <c r="E67" s="91" t="s">
        <v>780</v>
      </c>
    </row>
    <row r="68" spans="1:5" ht="15">
      <c r="A68" s="85"/>
      <c r="B68" s="85"/>
      <c r="C68" s="85" t="s">
        <v>478</v>
      </c>
      <c r="D68" s="85" t="s">
        <v>485</v>
      </c>
      <c r="E68" s="85"/>
    </row>
    <row r="69" spans="1:5" ht="15">
      <c r="A69" s="85"/>
      <c r="B69" s="85"/>
      <c r="C69" s="85" t="s">
        <v>479</v>
      </c>
      <c r="D69" s="85" t="s">
        <v>667</v>
      </c>
      <c r="E69" s="85"/>
    </row>
    <row r="70" spans="1:5" ht="15">
      <c r="A70" s="85"/>
      <c r="B70" s="85"/>
      <c r="C70" s="85" t="s">
        <v>492</v>
      </c>
      <c r="D70" s="85" t="s">
        <v>487</v>
      </c>
      <c r="E70" s="85"/>
    </row>
    <row r="71" spans="1:5" ht="15">
      <c r="A71" s="85"/>
      <c r="B71" s="85"/>
      <c r="C71" s="85" t="s">
        <v>480</v>
      </c>
      <c r="D71" s="85" t="s">
        <v>487</v>
      </c>
      <c r="E71" s="85"/>
    </row>
    <row r="72" spans="1:5" ht="15">
      <c r="A72" s="85"/>
      <c r="B72" s="85"/>
      <c r="C72" s="85" t="s">
        <v>498</v>
      </c>
      <c r="D72" s="85" t="s">
        <v>487</v>
      </c>
      <c r="E72" s="85"/>
    </row>
    <row r="73" spans="1:5" ht="15">
      <c r="A73" s="85"/>
      <c r="B73" s="85"/>
      <c r="C73" s="85" t="s">
        <v>497</v>
      </c>
      <c r="D73" s="85" t="s">
        <v>487</v>
      </c>
      <c r="E73" s="85"/>
    </row>
    <row r="74" spans="1:5" ht="15.75" thickBot="1">
      <c r="A74" s="85"/>
      <c r="B74" s="85"/>
      <c r="C74" s="85" t="s">
        <v>543</v>
      </c>
      <c r="D74" s="85" t="s">
        <v>487</v>
      </c>
      <c r="E74" s="85"/>
    </row>
    <row r="75" spans="1:5" ht="15.75" customHeight="1" thickTop="1">
      <c r="A75" s="86" t="s">
        <v>561</v>
      </c>
      <c r="B75" s="86" t="s">
        <v>781</v>
      </c>
      <c r="C75" s="87" t="s">
        <v>510</v>
      </c>
      <c r="D75" s="87" t="s">
        <v>481</v>
      </c>
      <c r="E75" s="87" t="s">
        <v>782</v>
      </c>
    </row>
    <row r="76" spans="1:5" ht="60">
      <c r="A76" s="81"/>
      <c r="B76" s="81"/>
      <c r="C76" s="81" t="s">
        <v>520</v>
      </c>
      <c r="D76" s="81" t="s">
        <v>546</v>
      </c>
      <c r="E76" s="81" t="s">
        <v>783</v>
      </c>
    </row>
    <row r="77" spans="1:5" ht="15">
      <c r="A77" s="81"/>
      <c r="B77" s="81"/>
      <c r="C77" s="81" t="s">
        <v>364</v>
      </c>
      <c r="D77" s="81" t="s">
        <v>512</v>
      </c>
      <c r="E77" s="81"/>
    </row>
    <row r="78" spans="1:5" ht="15">
      <c r="A78" s="81"/>
      <c r="B78" s="81"/>
      <c r="C78" s="81" t="s">
        <v>666</v>
      </c>
      <c r="D78" s="81" t="s">
        <v>496</v>
      </c>
      <c r="E78" s="81" t="s">
        <v>784</v>
      </c>
    </row>
    <row r="79" spans="1:5" ht="60">
      <c r="A79" s="81"/>
      <c r="B79" s="81"/>
      <c r="C79" s="81" t="s">
        <v>477</v>
      </c>
      <c r="D79" s="81" t="s">
        <v>496</v>
      </c>
      <c r="E79" s="81" t="s">
        <v>785</v>
      </c>
    </row>
    <row r="80" spans="1:5" ht="15">
      <c r="A80" s="81"/>
      <c r="B80" s="81"/>
      <c r="C80" s="81" t="s">
        <v>478</v>
      </c>
      <c r="D80" s="81" t="s">
        <v>485</v>
      </c>
      <c r="E80" s="81"/>
    </row>
    <row r="81" spans="1:5" ht="15">
      <c r="A81" s="81"/>
      <c r="B81" s="81"/>
      <c r="C81" s="81" t="s">
        <v>479</v>
      </c>
      <c r="D81" s="81" t="s">
        <v>667</v>
      </c>
      <c r="E81" s="81"/>
    </row>
    <row r="82" spans="1:5" ht="15">
      <c r="A82" s="81"/>
      <c r="B82" s="81"/>
      <c r="C82" s="81" t="s">
        <v>511</v>
      </c>
      <c r="D82" s="81" t="s">
        <v>487</v>
      </c>
      <c r="E82" s="81"/>
    </row>
    <row r="83" spans="1:5" ht="15.75" thickBot="1">
      <c r="A83" s="81"/>
      <c r="B83" s="81"/>
      <c r="C83" s="81" t="s">
        <v>480</v>
      </c>
      <c r="D83" s="81" t="s">
        <v>487</v>
      </c>
      <c r="E83" s="81"/>
    </row>
    <row r="84" spans="1:5" ht="75.75" thickTop="1">
      <c r="A84" s="83" t="s">
        <v>564</v>
      </c>
      <c r="B84" s="83" t="s">
        <v>786</v>
      </c>
      <c r="C84" s="90" t="s">
        <v>787</v>
      </c>
      <c r="D84" s="90" t="s">
        <v>509</v>
      </c>
      <c r="E84" s="91" t="s">
        <v>788</v>
      </c>
    </row>
    <row r="85" spans="1:5" ht="30.75" customHeight="1">
      <c r="A85" s="85"/>
      <c r="B85" s="85"/>
      <c r="C85" s="85" t="s">
        <v>479</v>
      </c>
      <c r="D85" s="85" t="s">
        <v>667</v>
      </c>
      <c r="E85" s="85"/>
    </row>
    <row r="86" spans="1:5" ht="15">
      <c r="A86" s="85"/>
      <c r="B86" s="85"/>
      <c r="C86" s="85" t="s">
        <v>492</v>
      </c>
      <c r="D86" s="85" t="s">
        <v>487</v>
      </c>
      <c r="E86" s="85"/>
    </row>
    <row r="87" spans="1:5" ht="15">
      <c r="A87" s="85"/>
      <c r="B87" s="85"/>
      <c r="C87" s="85" t="s">
        <v>480</v>
      </c>
      <c r="D87" s="85" t="s">
        <v>487</v>
      </c>
      <c r="E87" s="85"/>
    </row>
    <row r="88" spans="1:5" ht="15.75" thickBot="1">
      <c r="A88" s="85"/>
      <c r="B88" s="85"/>
      <c r="C88" s="85" t="s">
        <v>511</v>
      </c>
      <c r="D88" s="85" t="s">
        <v>487</v>
      </c>
      <c r="E88" s="85"/>
    </row>
    <row r="89" spans="1:5" ht="75.75" thickTop="1">
      <c r="A89" s="86" t="s">
        <v>566</v>
      </c>
      <c r="B89" s="86" t="s">
        <v>789</v>
      </c>
      <c r="C89" s="87" t="s">
        <v>440</v>
      </c>
      <c r="D89" s="87" t="s">
        <v>493</v>
      </c>
      <c r="E89" s="87" t="s">
        <v>790</v>
      </c>
    </row>
    <row r="90" spans="1:5" ht="15">
      <c r="A90" s="81"/>
      <c r="B90" s="81"/>
      <c r="C90" s="81" t="s">
        <v>408</v>
      </c>
      <c r="D90" s="81" t="s">
        <v>493</v>
      </c>
      <c r="E90" s="81"/>
    </row>
    <row r="91" spans="1:5" ht="15">
      <c r="A91" s="81"/>
      <c r="B91" s="81"/>
      <c r="C91" s="81" t="s">
        <v>514</v>
      </c>
      <c r="D91" s="81" t="s">
        <v>493</v>
      </c>
      <c r="E91" s="81"/>
    </row>
    <row r="92" spans="1:5" ht="15">
      <c r="A92" s="81"/>
      <c r="B92" s="81"/>
      <c r="C92" s="81" t="s">
        <v>364</v>
      </c>
      <c r="D92" s="81" t="s">
        <v>494</v>
      </c>
      <c r="E92" s="81"/>
    </row>
    <row r="93" spans="1:5" ht="30.75" customHeight="1">
      <c r="A93" s="81"/>
      <c r="B93" s="81"/>
      <c r="C93" s="81" t="s">
        <v>477</v>
      </c>
      <c r="D93" s="81" t="s">
        <v>496</v>
      </c>
      <c r="E93" s="81"/>
    </row>
    <row r="94" spans="1:5" ht="15">
      <c r="A94" s="81"/>
      <c r="B94" s="81"/>
      <c r="C94" s="81" t="s">
        <v>478</v>
      </c>
      <c r="D94" s="81" t="s">
        <v>485</v>
      </c>
      <c r="E94" s="81"/>
    </row>
    <row r="95" spans="1:5" ht="15">
      <c r="A95" s="81"/>
      <c r="B95" s="81"/>
      <c r="C95" s="81" t="s">
        <v>479</v>
      </c>
      <c r="D95" s="81" t="s">
        <v>667</v>
      </c>
      <c r="E95" s="81"/>
    </row>
    <row r="96" spans="1:5" ht="15">
      <c r="A96" s="81"/>
      <c r="B96" s="81"/>
      <c r="C96" s="81" t="s">
        <v>497</v>
      </c>
      <c r="D96" s="81" t="s">
        <v>487</v>
      </c>
      <c r="E96" s="81"/>
    </row>
    <row r="97" spans="1:5" ht="15.75" thickBot="1">
      <c r="A97" s="81"/>
      <c r="B97" s="81"/>
      <c r="C97" s="81" t="s">
        <v>480</v>
      </c>
      <c r="D97" s="81" t="s">
        <v>487</v>
      </c>
      <c r="E97" s="81"/>
    </row>
    <row r="98" spans="1:5" ht="60.75" thickTop="1">
      <c r="A98" s="83" t="s">
        <v>567</v>
      </c>
      <c r="B98" s="83" t="s">
        <v>791</v>
      </c>
      <c r="C98" s="90" t="s">
        <v>507</v>
      </c>
      <c r="D98" s="90" t="s">
        <v>509</v>
      </c>
      <c r="E98" s="91" t="s">
        <v>792</v>
      </c>
    </row>
    <row r="99" spans="1:5" ht="15">
      <c r="A99" s="85"/>
      <c r="B99" s="85"/>
      <c r="C99" s="85" t="s">
        <v>479</v>
      </c>
      <c r="D99" s="85" t="s">
        <v>667</v>
      </c>
      <c r="E99" s="85"/>
    </row>
    <row r="100" spans="1:5" ht="15">
      <c r="A100" s="85"/>
      <c r="B100" s="85"/>
      <c r="C100" s="85" t="s">
        <v>492</v>
      </c>
      <c r="D100" s="85" t="s">
        <v>487</v>
      </c>
      <c r="E100" s="85"/>
    </row>
    <row r="101" spans="1:5" ht="15">
      <c r="A101" s="85"/>
      <c r="B101" s="85"/>
      <c r="C101" s="85" t="s">
        <v>480</v>
      </c>
      <c r="D101" s="85" t="s">
        <v>487</v>
      </c>
      <c r="E101" s="85"/>
    </row>
    <row r="102" spans="1:5" ht="15.75" customHeight="1">
      <c r="A102" s="85"/>
      <c r="B102" s="85"/>
      <c r="C102" s="85" t="s">
        <v>498</v>
      </c>
      <c r="D102" s="85" t="s">
        <v>487</v>
      </c>
      <c r="E102" s="85"/>
    </row>
    <row r="103" spans="1:5" ht="15">
      <c r="A103" s="85"/>
      <c r="B103" s="85"/>
      <c r="C103" s="85" t="s">
        <v>508</v>
      </c>
      <c r="D103" s="85" t="s">
        <v>487</v>
      </c>
      <c r="E103" s="85"/>
    </row>
    <row r="104" spans="1:5" ht="15.75" thickBot="1">
      <c r="A104" s="85"/>
      <c r="B104" s="85"/>
      <c r="C104" s="85" t="s">
        <v>497</v>
      </c>
      <c r="D104" s="85" t="s">
        <v>487</v>
      </c>
      <c r="E104" s="85"/>
    </row>
    <row r="105" spans="1:5" ht="90.75" thickTop="1">
      <c r="A105" s="86" t="s">
        <v>568</v>
      </c>
      <c r="B105" s="86" t="s">
        <v>793</v>
      </c>
      <c r="C105" s="87" t="s">
        <v>794</v>
      </c>
      <c r="D105" s="87" t="s">
        <v>481</v>
      </c>
      <c r="E105" s="87" t="s">
        <v>795</v>
      </c>
    </row>
    <row r="106" spans="1:5" ht="15">
      <c r="A106" s="81"/>
      <c r="B106" s="81"/>
      <c r="C106" s="81" t="s">
        <v>478</v>
      </c>
      <c r="D106" s="81" t="s">
        <v>485</v>
      </c>
      <c r="E106" s="81"/>
    </row>
    <row r="107" spans="1:5" ht="15">
      <c r="A107" s="81"/>
      <c r="B107" s="81"/>
      <c r="C107" s="81" t="s">
        <v>479</v>
      </c>
      <c r="D107" s="81" t="s">
        <v>667</v>
      </c>
      <c r="E107" s="81"/>
    </row>
    <row r="108" spans="1:5" ht="15">
      <c r="A108" s="81"/>
      <c r="B108" s="81"/>
      <c r="C108" s="81" t="s">
        <v>492</v>
      </c>
      <c r="D108" s="81" t="s">
        <v>487</v>
      </c>
      <c r="E108" s="81"/>
    </row>
    <row r="109" spans="1:5" ht="15">
      <c r="A109" s="81"/>
      <c r="B109" s="81"/>
      <c r="C109" s="81" t="s">
        <v>480</v>
      </c>
      <c r="D109" s="81" t="s">
        <v>487</v>
      </c>
      <c r="E109" s="81"/>
    </row>
    <row r="110" spans="1:5" ht="15">
      <c r="A110" s="81"/>
      <c r="B110" s="81"/>
      <c r="C110" s="81" t="s">
        <v>498</v>
      </c>
      <c r="D110" s="81" t="s">
        <v>487</v>
      </c>
      <c r="E110" s="81"/>
    </row>
    <row r="111" spans="1:5" ht="15.75" customHeight="1">
      <c r="A111" s="81"/>
      <c r="B111" s="81"/>
      <c r="C111" s="81" t="s">
        <v>497</v>
      </c>
      <c r="D111" s="81" t="s">
        <v>487</v>
      </c>
      <c r="E111" s="81"/>
    </row>
    <row r="112" spans="1:5" ht="15.75" thickBot="1">
      <c r="A112" s="81"/>
      <c r="B112" s="81"/>
      <c r="C112" s="81" t="s">
        <v>543</v>
      </c>
      <c r="D112" s="81" t="s">
        <v>487</v>
      </c>
      <c r="E112" s="81"/>
    </row>
    <row r="113" spans="1:5" ht="45.75" thickTop="1">
      <c r="A113" s="83" t="s">
        <v>569</v>
      </c>
      <c r="B113" s="83" t="s">
        <v>796</v>
      </c>
      <c r="C113" s="90" t="s">
        <v>797</v>
      </c>
      <c r="D113" s="90" t="s">
        <v>481</v>
      </c>
      <c r="E113" s="91" t="s">
        <v>798</v>
      </c>
    </row>
    <row r="114" spans="1:5" ht="15">
      <c r="A114" s="85"/>
      <c r="B114" s="85"/>
      <c r="C114" s="85" t="s">
        <v>666</v>
      </c>
      <c r="D114" s="85" t="s">
        <v>496</v>
      </c>
      <c r="E114" s="85"/>
    </row>
    <row r="115" spans="1:5" ht="15">
      <c r="A115" s="85"/>
      <c r="B115" s="85"/>
      <c r="C115" s="85" t="s">
        <v>477</v>
      </c>
      <c r="D115" s="85" t="s">
        <v>496</v>
      </c>
      <c r="E115" s="85"/>
    </row>
    <row r="116" spans="1:5" ht="15">
      <c r="A116" s="85"/>
      <c r="B116" s="85"/>
      <c r="C116" s="85" t="s">
        <v>478</v>
      </c>
      <c r="D116" s="85" t="s">
        <v>485</v>
      </c>
      <c r="E116" s="85"/>
    </row>
    <row r="117" spans="1:5" ht="15">
      <c r="A117" s="85"/>
      <c r="B117" s="85"/>
      <c r="C117" s="85" t="s">
        <v>479</v>
      </c>
      <c r="D117" s="85" t="s">
        <v>667</v>
      </c>
      <c r="E117" s="85"/>
    </row>
    <row r="118" spans="1:5" ht="15.75" customHeight="1" thickBot="1">
      <c r="A118" s="85"/>
      <c r="B118" s="85"/>
      <c r="C118" s="85" t="s">
        <v>511</v>
      </c>
      <c r="D118" s="85" t="s">
        <v>487</v>
      </c>
      <c r="E118" s="85"/>
    </row>
    <row r="119" spans="1:5" ht="90.75" thickTop="1">
      <c r="A119" s="86" t="s">
        <v>571</v>
      </c>
      <c r="B119" s="86" t="s">
        <v>799</v>
      </c>
      <c r="C119" s="87" t="s">
        <v>536</v>
      </c>
      <c r="D119" s="87" t="s">
        <v>540</v>
      </c>
      <c r="E119" s="87" t="s">
        <v>800</v>
      </c>
    </row>
    <row r="120" spans="1:5" ht="15">
      <c r="A120" s="81"/>
      <c r="B120" s="81"/>
      <c r="C120" s="81" t="s">
        <v>537</v>
      </c>
      <c r="D120" s="81" t="s">
        <v>493</v>
      </c>
      <c r="E120" s="81"/>
    </row>
    <row r="121" spans="1:5" ht="30">
      <c r="A121" s="81"/>
      <c r="B121" s="81"/>
      <c r="C121" s="81" t="s">
        <v>801</v>
      </c>
      <c r="D121" s="81" t="s">
        <v>494</v>
      </c>
      <c r="E121" s="81"/>
    </row>
    <row r="122" spans="1:5" ht="15">
      <c r="A122" s="81"/>
      <c r="B122" s="81"/>
      <c r="C122" s="81" t="s">
        <v>520</v>
      </c>
      <c r="D122" s="81" t="s">
        <v>494</v>
      </c>
      <c r="E122" s="81"/>
    </row>
    <row r="123" spans="1:5" ht="15">
      <c r="A123" s="81"/>
      <c r="B123" s="81"/>
      <c r="C123" s="81" t="s">
        <v>364</v>
      </c>
      <c r="D123" s="81" t="s">
        <v>494</v>
      </c>
      <c r="E123" s="81"/>
    </row>
    <row r="124" spans="1:5" ht="15">
      <c r="A124" s="81"/>
      <c r="B124" s="81"/>
      <c r="C124" s="81" t="s">
        <v>538</v>
      </c>
      <c r="D124" s="81" t="s">
        <v>526</v>
      </c>
      <c r="E124" s="81"/>
    </row>
    <row r="125" spans="1:5" ht="15">
      <c r="A125" s="81"/>
      <c r="B125" s="81"/>
      <c r="C125" s="81" t="s">
        <v>478</v>
      </c>
      <c r="D125" s="81" t="s">
        <v>485</v>
      </c>
      <c r="E125" s="81"/>
    </row>
    <row r="126" spans="1:5" ht="15">
      <c r="A126" s="81"/>
      <c r="B126" s="81"/>
      <c r="C126" s="81" t="s">
        <v>746</v>
      </c>
      <c r="D126" s="81" t="s">
        <v>495</v>
      </c>
      <c r="E126" s="81"/>
    </row>
    <row r="127" spans="1:5" ht="15">
      <c r="A127" s="81"/>
      <c r="B127" s="81"/>
      <c r="C127" s="81" t="s">
        <v>479</v>
      </c>
      <c r="D127" s="81" t="s">
        <v>667</v>
      </c>
      <c r="E127" s="81"/>
    </row>
    <row r="128" spans="1:5" ht="15.75" thickBot="1">
      <c r="A128" s="81"/>
      <c r="B128" s="81"/>
      <c r="C128" s="81" t="s">
        <v>539</v>
      </c>
      <c r="D128" s="81" t="s">
        <v>487</v>
      </c>
      <c r="E128" s="81"/>
    </row>
    <row r="129" spans="1:5" ht="60.75" thickTop="1">
      <c r="A129" s="83" t="s">
        <v>574</v>
      </c>
      <c r="B129" s="83" t="s">
        <v>802</v>
      </c>
      <c r="C129" s="90" t="s">
        <v>408</v>
      </c>
      <c r="D129" s="90" t="s">
        <v>481</v>
      </c>
      <c r="E129" s="91" t="s">
        <v>803</v>
      </c>
    </row>
    <row r="130" spans="1:5" ht="15">
      <c r="A130" s="85"/>
      <c r="B130" s="85"/>
      <c r="C130" s="85" t="s">
        <v>666</v>
      </c>
      <c r="D130" s="85" t="s">
        <v>496</v>
      </c>
      <c r="E130" s="85"/>
    </row>
    <row r="131" spans="1:5" ht="15">
      <c r="A131" s="85"/>
      <c r="B131" s="85"/>
      <c r="C131" s="85" t="s">
        <v>477</v>
      </c>
      <c r="D131" s="85" t="s">
        <v>496</v>
      </c>
      <c r="E131" s="85"/>
    </row>
    <row r="132" spans="1:5" ht="15.75" customHeight="1">
      <c r="A132" s="85"/>
      <c r="B132" s="85"/>
      <c r="C132" s="85" t="s">
        <v>478</v>
      </c>
      <c r="D132" s="85" t="s">
        <v>485</v>
      </c>
      <c r="E132" s="85"/>
    </row>
    <row r="133" spans="1:5" ht="15">
      <c r="A133" s="85"/>
      <c r="B133" s="85"/>
      <c r="C133" s="85" t="s">
        <v>479</v>
      </c>
      <c r="D133" s="85" t="s">
        <v>667</v>
      </c>
      <c r="E133" s="85"/>
    </row>
    <row r="134" spans="1:5" ht="15">
      <c r="A134" s="85"/>
      <c r="B134" s="85"/>
      <c r="C134" s="85" t="s">
        <v>480</v>
      </c>
      <c r="D134" s="85" t="s">
        <v>487</v>
      </c>
      <c r="E134" s="85"/>
    </row>
    <row r="135" spans="1:5" ht="15.75" thickBot="1">
      <c r="A135" s="85"/>
      <c r="B135" s="85"/>
      <c r="C135" s="85" t="s">
        <v>511</v>
      </c>
      <c r="D135" s="85" t="s">
        <v>487</v>
      </c>
      <c r="E135" s="85"/>
    </row>
    <row r="136" spans="1:5" ht="30.75" thickTop="1">
      <c r="A136" s="86" t="s">
        <v>576</v>
      </c>
      <c r="B136" s="86" t="s">
        <v>804</v>
      </c>
      <c r="C136" s="87" t="s">
        <v>805</v>
      </c>
      <c r="D136" s="87" t="s">
        <v>540</v>
      </c>
      <c r="E136" s="87" t="s">
        <v>806</v>
      </c>
    </row>
    <row r="137" spans="1:5" ht="15">
      <c r="A137" s="81"/>
      <c r="B137" s="81"/>
      <c r="C137" s="81" t="s">
        <v>478</v>
      </c>
      <c r="D137" s="81" t="s">
        <v>485</v>
      </c>
      <c r="E137" s="81"/>
    </row>
    <row r="138" spans="1:5" ht="15">
      <c r="A138" s="81"/>
      <c r="B138" s="81"/>
      <c r="C138" s="81" t="s">
        <v>498</v>
      </c>
      <c r="D138" s="81" t="s">
        <v>487</v>
      </c>
      <c r="E138" s="81"/>
    </row>
    <row r="139" spans="1:5" ht="15">
      <c r="A139" s="81"/>
      <c r="B139" s="81"/>
      <c r="C139" s="81" t="s">
        <v>477</v>
      </c>
      <c r="D139" s="81" t="s">
        <v>496</v>
      </c>
      <c r="E139" s="81"/>
    </row>
    <row r="140" spans="1:5" ht="15.75" thickBot="1">
      <c r="A140" s="81"/>
      <c r="B140" s="81"/>
      <c r="C140" s="81" t="s">
        <v>480</v>
      </c>
      <c r="D140" s="81" t="s">
        <v>487</v>
      </c>
      <c r="E140" s="81"/>
    </row>
    <row r="141" spans="1:5" ht="15.75" customHeight="1" thickTop="1">
      <c r="A141" s="83" t="s">
        <v>577</v>
      </c>
      <c r="B141" s="83" t="s">
        <v>807</v>
      </c>
      <c r="C141" s="90" t="s">
        <v>544</v>
      </c>
      <c r="D141" s="90" t="s">
        <v>509</v>
      </c>
      <c r="E141" s="91" t="s">
        <v>808</v>
      </c>
    </row>
    <row r="142" spans="1:5" ht="15">
      <c r="A142" s="85"/>
      <c r="B142" s="85"/>
      <c r="C142" s="85" t="s">
        <v>479</v>
      </c>
      <c r="D142" s="85" t="s">
        <v>667</v>
      </c>
      <c r="E142" s="85"/>
    </row>
    <row r="143" spans="1:5" ht="15">
      <c r="A143" s="85"/>
      <c r="B143" s="85"/>
      <c r="C143" s="85" t="s">
        <v>102</v>
      </c>
      <c r="D143" s="85" t="s">
        <v>487</v>
      </c>
      <c r="E143" s="85"/>
    </row>
    <row r="144" spans="1:5" ht="15.75" thickBot="1">
      <c r="A144" s="85"/>
      <c r="B144" s="85"/>
      <c r="C144" s="85" t="s">
        <v>480</v>
      </c>
      <c r="D144" s="85" t="s">
        <v>487</v>
      </c>
      <c r="E144" s="85"/>
    </row>
    <row r="145" spans="1:5" ht="105.75" thickTop="1">
      <c r="A145" s="86" t="s">
        <v>578</v>
      </c>
      <c r="B145" s="86" t="s">
        <v>809</v>
      </c>
      <c r="C145" s="87" t="s">
        <v>514</v>
      </c>
      <c r="D145" s="87" t="s">
        <v>493</v>
      </c>
      <c r="E145" s="87" t="s">
        <v>810</v>
      </c>
    </row>
    <row r="146" spans="1:5" ht="15">
      <c r="A146" s="81"/>
      <c r="B146" s="81"/>
      <c r="C146" s="81" t="s">
        <v>440</v>
      </c>
      <c r="D146" s="81" t="s">
        <v>482</v>
      </c>
      <c r="E146" s="81"/>
    </row>
    <row r="147" spans="1:5" ht="15">
      <c r="A147" s="81"/>
      <c r="B147" s="81"/>
      <c r="C147" s="81" t="s">
        <v>408</v>
      </c>
      <c r="D147" s="81" t="s">
        <v>482</v>
      </c>
      <c r="E147" s="81"/>
    </row>
    <row r="148" spans="1:5" ht="15">
      <c r="A148" s="81"/>
      <c r="B148" s="81"/>
      <c r="C148" s="81" t="s">
        <v>397</v>
      </c>
      <c r="D148" s="81" t="s">
        <v>493</v>
      </c>
      <c r="E148" s="81"/>
    </row>
    <row r="149" spans="1:5" ht="15.75" customHeight="1">
      <c r="A149" s="81"/>
      <c r="B149" s="81"/>
      <c r="C149" s="81" t="s">
        <v>439</v>
      </c>
      <c r="D149" s="81" t="s">
        <v>495</v>
      </c>
      <c r="E149" s="81"/>
    </row>
    <row r="150" spans="1:5" ht="15">
      <c r="A150" s="81"/>
      <c r="B150" s="81"/>
      <c r="C150" s="81" t="s">
        <v>327</v>
      </c>
      <c r="D150" s="81" t="s">
        <v>493</v>
      </c>
      <c r="E150" s="81"/>
    </row>
    <row r="151" spans="1:5" ht="15">
      <c r="A151" s="81"/>
      <c r="B151" s="81"/>
      <c r="C151" s="81" t="s">
        <v>364</v>
      </c>
      <c r="D151" s="81" t="s">
        <v>526</v>
      </c>
      <c r="E151" s="81"/>
    </row>
    <row r="152" spans="1:5" ht="15">
      <c r="A152" s="81"/>
      <c r="B152" s="81"/>
      <c r="C152" s="81" t="s">
        <v>477</v>
      </c>
      <c r="D152" s="81" t="s">
        <v>496</v>
      </c>
      <c r="E152" s="81"/>
    </row>
    <row r="153" spans="1:5" ht="15">
      <c r="A153" s="81"/>
      <c r="B153" s="81"/>
      <c r="C153" s="81" t="s">
        <v>478</v>
      </c>
      <c r="D153" s="81" t="s">
        <v>485</v>
      </c>
      <c r="E153" s="81"/>
    </row>
    <row r="154" spans="1:5" ht="15">
      <c r="A154" s="81"/>
      <c r="B154" s="81"/>
      <c r="C154" s="81" t="s">
        <v>479</v>
      </c>
      <c r="D154" s="81" t="s">
        <v>667</v>
      </c>
      <c r="E154" s="81"/>
    </row>
    <row r="155" spans="1:5" ht="15">
      <c r="A155" s="81"/>
      <c r="B155" s="81"/>
      <c r="C155" s="81" t="s">
        <v>480</v>
      </c>
      <c r="D155" s="81" t="s">
        <v>487</v>
      </c>
      <c r="E155" s="81"/>
    </row>
    <row r="156" spans="1:5" ht="15">
      <c r="A156" s="81"/>
      <c r="B156" s="81"/>
      <c r="C156" s="81" t="s">
        <v>492</v>
      </c>
      <c r="D156" s="81" t="s">
        <v>487</v>
      </c>
      <c r="E156" s="81"/>
    </row>
    <row r="157" spans="1:5" ht="15">
      <c r="A157" s="81"/>
      <c r="B157" s="81"/>
      <c r="C157" s="81" t="s">
        <v>502</v>
      </c>
      <c r="D157" s="81" t="s">
        <v>487</v>
      </c>
      <c r="E157" s="81"/>
    </row>
    <row r="158" spans="1:5" ht="15.75" thickBot="1">
      <c r="A158" s="81"/>
      <c r="B158" s="81"/>
      <c r="C158" s="81" t="s">
        <v>511</v>
      </c>
      <c r="D158" s="81" t="s">
        <v>487</v>
      </c>
      <c r="E158" s="81"/>
    </row>
    <row r="159" spans="1:5" ht="30.75" thickTop="1">
      <c r="A159" s="83" t="s">
        <v>714</v>
      </c>
      <c r="B159" s="83" t="s">
        <v>811</v>
      </c>
      <c r="C159" s="90" t="s">
        <v>396</v>
      </c>
      <c r="D159" s="90" t="s">
        <v>481</v>
      </c>
      <c r="E159" s="91" t="s">
        <v>782</v>
      </c>
    </row>
    <row r="160" spans="1:5" ht="24.75" customHeight="1">
      <c r="A160" s="85"/>
      <c r="B160" s="85"/>
      <c r="C160" s="85" t="s">
        <v>517</v>
      </c>
      <c r="D160" s="85" t="s">
        <v>494</v>
      </c>
      <c r="E160" s="85" t="s">
        <v>812</v>
      </c>
    </row>
    <row r="161" spans="1:5" ht="15">
      <c r="A161" s="85"/>
      <c r="B161" s="85"/>
      <c r="C161" s="85" t="s">
        <v>477</v>
      </c>
      <c r="D161" s="85" t="s">
        <v>496</v>
      </c>
      <c r="E161" s="85"/>
    </row>
    <row r="162" spans="1:5" ht="15">
      <c r="A162" s="85"/>
      <c r="B162" s="85"/>
      <c r="C162" s="85" t="s">
        <v>478</v>
      </c>
      <c r="D162" s="85" t="s">
        <v>485</v>
      </c>
      <c r="E162" s="98" t="s">
        <v>784</v>
      </c>
    </row>
    <row r="163" spans="1:5" ht="75">
      <c r="A163" s="85"/>
      <c r="B163" s="85"/>
      <c r="C163" s="85" t="s">
        <v>479</v>
      </c>
      <c r="D163" s="85" t="s">
        <v>667</v>
      </c>
      <c r="E163" s="85" t="s">
        <v>813</v>
      </c>
    </row>
    <row r="164" spans="1:5" ht="15">
      <c r="A164" s="85"/>
      <c r="B164" s="85"/>
      <c r="C164" s="85" t="s">
        <v>492</v>
      </c>
      <c r="D164" s="85" t="s">
        <v>487</v>
      </c>
      <c r="E164" s="85"/>
    </row>
    <row r="165" spans="1:5" ht="15">
      <c r="A165" s="85"/>
      <c r="B165" s="85"/>
      <c r="C165" s="85" t="s">
        <v>480</v>
      </c>
      <c r="D165" s="85" t="s">
        <v>487</v>
      </c>
      <c r="E165" s="85"/>
    </row>
    <row r="166" spans="1:5" ht="15.75" thickBot="1">
      <c r="A166" s="85"/>
      <c r="B166" s="85"/>
      <c r="C166" s="85" t="s">
        <v>511</v>
      </c>
      <c r="D166" s="85" t="s">
        <v>487</v>
      </c>
      <c r="E166" s="85"/>
    </row>
    <row r="167" spans="1:5" ht="60.75" thickTop="1">
      <c r="A167" s="86" t="s">
        <v>717</v>
      </c>
      <c r="B167" s="86" t="s">
        <v>814</v>
      </c>
      <c r="C167" s="87" t="s">
        <v>397</v>
      </c>
      <c r="D167" s="87" t="s">
        <v>509</v>
      </c>
      <c r="E167" s="87" t="s">
        <v>815</v>
      </c>
    </row>
    <row r="168" spans="1:5" ht="15">
      <c r="A168" s="81"/>
      <c r="B168" s="81"/>
      <c r="C168" s="81" t="s">
        <v>520</v>
      </c>
      <c r="D168" s="81" t="s">
        <v>546</v>
      </c>
      <c r="E168" s="81"/>
    </row>
    <row r="169" spans="1:5" ht="15">
      <c r="A169" s="81"/>
      <c r="B169" s="81"/>
      <c r="C169" s="81" t="s">
        <v>666</v>
      </c>
      <c r="D169" s="81" t="s">
        <v>496</v>
      </c>
      <c r="E169" s="81"/>
    </row>
    <row r="170" spans="1:5" ht="15.75" customHeight="1">
      <c r="A170" s="81"/>
      <c r="B170" s="81"/>
      <c r="C170" s="81" t="s">
        <v>477</v>
      </c>
      <c r="D170" s="81" t="s">
        <v>496</v>
      </c>
      <c r="E170" s="81"/>
    </row>
    <row r="171" spans="1:5" ht="15">
      <c r="A171" s="81"/>
      <c r="B171" s="81"/>
      <c r="C171" s="81" t="s">
        <v>478</v>
      </c>
      <c r="D171" s="81" t="s">
        <v>485</v>
      </c>
      <c r="E171" s="81"/>
    </row>
    <row r="172" spans="1:5" ht="15">
      <c r="A172" s="81"/>
      <c r="B172" s="81"/>
      <c r="C172" s="81" t="s">
        <v>479</v>
      </c>
      <c r="D172" s="81" t="s">
        <v>667</v>
      </c>
      <c r="E172" s="81"/>
    </row>
    <row r="173" spans="1:5" ht="15">
      <c r="A173" s="81"/>
      <c r="B173" s="81"/>
      <c r="C173" s="81" t="s">
        <v>497</v>
      </c>
      <c r="D173" s="81" t="s">
        <v>487</v>
      </c>
      <c r="E173" s="81"/>
    </row>
    <row r="174" spans="1:5" ht="15">
      <c r="A174" s="81"/>
      <c r="B174" s="81"/>
      <c r="C174" s="81" t="s">
        <v>492</v>
      </c>
      <c r="D174" s="81" t="s">
        <v>487</v>
      </c>
      <c r="E174" s="81"/>
    </row>
    <row r="175" spans="1:5" ht="15.75" thickBot="1">
      <c r="A175" s="81"/>
      <c r="B175" s="81"/>
      <c r="C175" s="81" t="s">
        <v>480</v>
      </c>
      <c r="D175" s="81" t="s">
        <v>487</v>
      </c>
      <c r="E175" s="81"/>
    </row>
    <row r="176" spans="1:5" ht="45.75" thickTop="1">
      <c r="A176" s="83" t="s">
        <v>719</v>
      </c>
      <c r="B176" s="83" t="s">
        <v>816</v>
      </c>
      <c r="C176" s="90" t="s">
        <v>817</v>
      </c>
      <c r="D176" s="90" t="s">
        <v>499</v>
      </c>
      <c r="E176" s="91" t="s">
        <v>818</v>
      </c>
    </row>
    <row r="177" spans="1:5" ht="15">
      <c r="A177" s="85"/>
      <c r="B177" s="85"/>
      <c r="C177" s="85" t="s">
        <v>666</v>
      </c>
      <c r="D177" s="85" t="s">
        <v>496</v>
      </c>
      <c r="E177" s="85"/>
    </row>
    <row r="178" spans="1:5" ht="15">
      <c r="A178" s="85"/>
      <c r="B178" s="85"/>
      <c r="C178" s="85" t="s">
        <v>477</v>
      </c>
      <c r="D178" s="85" t="s">
        <v>496</v>
      </c>
      <c r="E178" s="85"/>
    </row>
    <row r="179" spans="1:5" ht="15.75" customHeight="1">
      <c r="A179" s="85"/>
      <c r="B179" s="85"/>
      <c r="C179" s="85" t="s">
        <v>478</v>
      </c>
      <c r="D179" s="85" t="s">
        <v>485</v>
      </c>
      <c r="E179" s="85"/>
    </row>
    <row r="180" spans="1:5" ht="15">
      <c r="A180" s="85"/>
      <c r="B180" s="85"/>
      <c r="C180" s="85" t="s">
        <v>479</v>
      </c>
      <c r="D180" s="85" t="s">
        <v>667</v>
      </c>
      <c r="E180" s="85"/>
    </row>
    <row r="181" spans="1:5" ht="15">
      <c r="A181" s="85"/>
      <c r="B181" s="85"/>
      <c r="C181" s="85" t="s">
        <v>497</v>
      </c>
      <c r="D181" s="85" t="s">
        <v>487</v>
      </c>
      <c r="E181" s="85"/>
    </row>
    <row r="182" spans="1:5" ht="15">
      <c r="A182" s="85"/>
      <c r="B182" s="85"/>
      <c r="C182" s="85" t="s">
        <v>480</v>
      </c>
      <c r="D182" s="85" t="s">
        <v>487</v>
      </c>
      <c r="E182" s="85"/>
    </row>
    <row r="183" spans="1:5" ht="15.75" thickBot="1">
      <c r="A183" s="85"/>
      <c r="B183" s="85"/>
      <c r="C183" s="85" t="s">
        <v>498</v>
      </c>
      <c r="D183" s="85" t="s">
        <v>487</v>
      </c>
      <c r="E183" s="85"/>
    </row>
    <row r="184" spans="1:5" ht="60.75" thickTop="1">
      <c r="A184" s="86" t="s">
        <v>723</v>
      </c>
      <c r="B184" s="86" t="s">
        <v>819</v>
      </c>
      <c r="C184" s="87" t="s">
        <v>794</v>
      </c>
      <c r="D184" s="87" t="s">
        <v>481</v>
      </c>
      <c r="E184" s="87" t="s">
        <v>820</v>
      </c>
    </row>
    <row r="185" spans="1:5" ht="15">
      <c r="A185" s="81"/>
      <c r="B185" s="81"/>
      <c r="C185" s="81" t="s">
        <v>666</v>
      </c>
      <c r="D185" s="81" t="s">
        <v>496</v>
      </c>
      <c r="E185" s="81"/>
    </row>
    <row r="186" spans="1:5" ht="15">
      <c r="A186" s="81"/>
      <c r="B186" s="81"/>
      <c r="C186" s="81" t="s">
        <v>477</v>
      </c>
      <c r="D186" s="81" t="s">
        <v>496</v>
      </c>
      <c r="E186" s="81"/>
    </row>
    <row r="187" spans="1:5" ht="15">
      <c r="A187" s="81"/>
      <c r="B187" s="81"/>
      <c r="C187" s="81" t="s">
        <v>478</v>
      </c>
      <c r="D187" s="81" t="s">
        <v>485</v>
      </c>
      <c r="E187" s="81"/>
    </row>
    <row r="188" spans="1:5" ht="15.75" customHeight="1" thickBot="1">
      <c r="A188" s="81"/>
      <c r="B188" s="81"/>
      <c r="C188" s="81" t="s">
        <v>479</v>
      </c>
      <c r="D188" s="81" t="s">
        <v>667</v>
      </c>
      <c r="E188" s="81"/>
    </row>
    <row r="189" spans="1:5" ht="60.75" thickTop="1">
      <c r="A189" s="83" t="s">
        <v>726</v>
      </c>
      <c r="B189" s="83" t="s">
        <v>821</v>
      </c>
      <c r="C189" s="90" t="s">
        <v>408</v>
      </c>
      <c r="D189" s="90" t="s">
        <v>481</v>
      </c>
      <c r="E189" s="91" t="s">
        <v>822</v>
      </c>
    </row>
    <row r="190" spans="1:5" ht="15">
      <c r="A190" s="85"/>
      <c r="B190" s="85"/>
      <c r="C190" s="85" t="s">
        <v>480</v>
      </c>
      <c r="D190" s="85" t="s">
        <v>487</v>
      </c>
      <c r="E190" s="85"/>
    </row>
    <row r="191" spans="1:5" ht="15">
      <c r="A191" s="85"/>
      <c r="B191" s="85"/>
      <c r="C191" s="85" t="s">
        <v>502</v>
      </c>
      <c r="D191" s="85" t="s">
        <v>487</v>
      </c>
      <c r="E191" s="85"/>
    </row>
    <row r="192" spans="1:5" ht="15">
      <c r="A192" s="85"/>
      <c r="B192" s="85"/>
      <c r="C192" s="85" t="s">
        <v>479</v>
      </c>
      <c r="D192" s="85" t="s">
        <v>667</v>
      </c>
      <c r="E192" s="85"/>
    </row>
    <row r="193" spans="1:5" ht="15">
      <c r="A193" s="85"/>
      <c r="B193" s="85"/>
      <c r="C193" s="85" t="s">
        <v>478</v>
      </c>
      <c r="D193" s="85" t="s">
        <v>485</v>
      </c>
      <c r="E193" s="85"/>
    </row>
    <row r="194" spans="1:5" ht="15">
      <c r="A194" s="85"/>
      <c r="B194" s="85"/>
      <c r="C194" s="85" t="s">
        <v>575</v>
      </c>
      <c r="D194" s="85" t="s">
        <v>541</v>
      </c>
      <c r="E194" s="85"/>
    </row>
    <row r="195" spans="1:5" ht="15">
      <c r="A195" s="85"/>
      <c r="B195" s="85"/>
      <c r="C195" s="85" t="s">
        <v>573</v>
      </c>
      <c r="D195" s="85" t="s">
        <v>496</v>
      </c>
      <c r="E195" s="85"/>
    </row>
    <row r="196" spans="1:5" ht="15">
      <c r="A196" s="85"/>
      <c r="B196" s="85"/>
      <c r="C196" s="85" t="s">
        <v>501</v>
      </c>
      <c r="D196" s="85" t="s">
        <v>487</v>
      </c>
      <c r="E196" s="85"/>
    </row>
    <row r="197" spans="1:5" ht="15.75" thickBot="1">
      <c r="A197" s="85"/>
      <c r="B197" s="85"/>
      <c r="C197" s="85" t="s">
        <v>823</v>
      </c>
      <c r="D197" s="85" t="s">
        <v>487</v>
      </c>
      <c r="E197" s="85"/>
    </row>
    <row r="198" spans="1:5" ht="15.75" customHeight="1" thickTop="1">
      <c r="A198" s="86" t="s">
        <v>729</v>
      </c>
      <c r="B198" s="86" t="s">
        <v>545</v>
      </c>
      <c r="C198" s="87" t="s">
        <v>824</v>
      </c>
      <c r="D198" s="87" t="s">
        <v>481</v>
      </c>
      <c r="E198" s="87" t="s">
        <v>798</v>
      </c>
    </row>
    <row r="199" spans="1:5" ht="15">
      <c r="A199" s="81"/>
      <c r="B199" s="81"/>
      <c r="C199" s="81" t="s">
        <v>666</v>
      </c>
      <c r="D199" s="81" t="s">
        <v>496</v>
      </c>
      <c r="E199" s="81"/>
    </row>
    <row r="200" spans="1:5" ht="15">
      <c r="A200" s="81"/>
      <c r="B200" s="81"/>
      <c r="C200" s="81" t="s">
        <v>477</v>
      </c>
      <c r="D200" s="81" t="s">
        <v>496</v>
      </c>
      <c r="E200" s="81"/>
    </row>
    <row r="201" spans="1:5" ht="15">
      <c r="A201" s="81"/>
      <c r="B201" s="81"/>
      <c r="C201" s="81" t="s">
        <v>478</v>
      </c>
      <c r="D201" s="81" t="s">
        <v>485</v>
      </c>
      <c r="E201" s="81"/>
    </row>
    <row r="202" spans="1:5" ht="15">
      <c r="A202" s="81"/>
      <c r="B202" s="81"/>
      <c r="C202" s="81" t="s">
        <v>479</v>
      </c>
      <c r="D202" s="81" t="s">
        <v>667</v>
      </c>
      <c r="E202" s="81"/>
    </row>
    <row r="203" spans="1:5" ht="15.75" thickBot="1">
      <c r="A203" s="81"/>
      <c r="B203" s="81"/>
      <c r="C203" s="81" t="s">
        <v>511</v>
      </c>
      <c r="D203" s="81" t="s">
        <v>487</v>
      </c>
      <c r="E203" s="81"/>
    </row>
    <row r="204" spans="1:5" ht="120.75" thickTop="1">
      <c r="A204" s="83" t="s">
        <v>731</v>
      </c>
      <c r="B204" s="83" t="s">
        <v>825</v>
      </c>
      <c r="C204" s="90" t="s">
        <v>327</v>
      </c>
      <c r="D204" s="90" t="s">
        <v>493</v>
      </c>
      <c r="E204" s="91" t="s">
        <v>826</v>
      </c>
    </row>
    <row r="205" spans="1:5" ht="15">
      <c r="A205" s="85"/>
      <c r="B205" s="85"/>
      <c r="C205" s="85" t="s">
        <v>440</v>
      </c>
      <c r="D205" s="85" t="s">
        <v>493</v>
      </c>
      <c r="E205" s="85"/>
    </row>
    <row r="206" spans="1:5" ht="15">
      <c r="A206" s="85"/>
      <c r="B206" s="85"/>
      <c r="C206" s="85" t="s">
        <v>408</v>
      </c>
      <c r="D206" s="85" t="s">
        <v>493</v>
      </c>
      <c r="E206" s="85"/>
    </row>
    <row r="207" spans="1:5" ht="15">
      <c r="A207" s="85"/>
      <c r="B207" s="85"/>
      <c r="C207" s="85" t="s">
        <v>532</v>
      </c>
      <c r="D207" s="85" t="s">
        <v>525</v>
      </c>
      <c r="E207" s="85"/>
    </row>
    <row r="208" spans="1:5" ht="15.75" customHeight="1">
      <c r="A208" s="85"/>
      <c r="B208" s="85"/>
      <c r="C208" s="85" t="s">
        <v>666</v>
      </c>
      <c r="D208" s="85" t="s">
        <v>496</v>
      </c>
      <c r="E208" s="85"/>
    </row>
    <row r="209" spans="1:5" ht="15">
      <c r="A209" s="85"/>
      <c r="B209" s="85"/>
      <c r="C209" s="85" t="s">
        <v>477</v>
      </c>
      <c r="D209" s="85" t="s">
        <v>496</v>
      </c>
      <c r="E209" s="85"/>
    </row>
    <row r="210" spans="1:5" ht="15">
      <c r="A210" s="85"/>
      <c r="B210" s="85"/>
      <c r="C210" s="85" t="s">
        <v>490</v>
      </c>
      <c r="D210" s="85" t="s">
        <v>496</v>
      </c>
      <c r="E210" s="85"/>
    </row>
    <row r="211" spans="1:5" ht="15">
      <c r="A211" s="85"/>
      <c r="B211" s="85"/>
      <c r="C211" s="85" t="s">
        <v>478</v>
      </c>
      <c r="D211" s="85" t="s">
        <v>485</v>
      </c>
      <c r="E211" s="85"/>
    </row>
    <row r="212" spans="1:5" ht="15">
      <c r="A212" s="85"/>
      <c r="B212" s="85"/>
      <c r="C212" s="85" t="s">
        <v>479</v>
      </c>
      <c r="D212" s="85" t="s">
        <v>667</v>
      </c>
      <c r="E212" s="85"/>
    </row>
    <row r="213" spans="1:5" ht="15.75" thickBot="1">
      <c r="A213" s="85"/>
      <c r="B213" s="85"/>
      <c r="C213" s="85" t="s">
        <v>480</v>
      </c>
      <c r="D213" s="85" t="s">
        <v>487</v>
      </c>
      <c r="E213" s="85"/>
    </row>
    <row r="214" spans="1:5" ht="90.75" thickTop="1">
      <c r="A214" s="86" t="s">
        <v>734</v>
      </c>
      <c r="B214" s="86" t="s">
        <v>827</v>
      </c>
      <c r="C214" s="87" t="s">
        <v>513</v>
      </c>
      <c r="D214" s="87" t="s">
        <v>515</v>
      </c>
      <c r="E214" s="87" t="s">
        <v>828</v>
      </c>
    </row>
    <row r="215" spans="1:5" ht="15">
      <c r="A215" s="81"/>
      <c r="B215" s="81"/>
      <c r="C215" s="81" t="s">
        <v>397</v>
      </c>
      <c r="D215" s="81" t="s">
        <v>515</v>
      </c>
      <c r="E215" s="81"/>
    </row>
    <row r="216" spans="1:5" ht="15">
      <c r="A216" s="81"/>
      <c r="B216" s="81"/>
      <c r="C216" s="81" t="s">
        <v>514</v>
      </c>
      <c r="D216" s="81" t="s">
        <v>493</v>
      </c>
      <c r="E216" s="81"/>
    </row>
    <row r="217" spans="1:5" ht="15">
      <c r="A217" s="81"/>
      <c r="B217" s="81"/>
      <c r="C217" s="81" t="s">
        <v>477</v>
      </c>
      <c r="D217" s="81" t="s">
        <v>496</v>
      </c>
      <c r="E217" s="81"/>
    </row>
    <row r="218" spans="1:5" ht="15">
      <c r="A218" s="81"/>
      <c r="B218" s="81"/>
      <c r="C218" s="81" t="s">
        <v>491</v>
      </c>
      <c r="D218" s="81" t="s">
        <v>496</v>
      </c>
      <c r="E218" s="81"/>
    </row>
    <row r="219" spans="1:5" ht="15.75" customHeight="1">
      <c r="A219" s="81"/>
      <c r="B219" s="81"/>
      <c r="C219" s="81" t="s">
        <v>478</v>
      </c>
      <c r="D219" s="81" t="s">
        <v>485</v>
      </c>
      <c r="E219" s="81"/>
    </row>
    <row r="220" spans="1:5" ht="15">
      <c r="A220" s="81"/>
      <c r="B220" s="81"/>
      <c r="C220" s="81" t="s">
        <v>479</v>
      </c>
      <c r="D220" s="81" t="s">
        <v>667</v>
      </c>
      <c r="E220" s="81"/>
    </row>
    <row r="221" spans="1:5" ht="15">
      <c r="A221" s="81"/>
      <c r="B221" s="81"/>
      <c r="C221" s="81" t="s">
        <v>511</v>
      </c>
      <c r="D221" s="81" t="s">
        <v>487</v>
      </c>
      <c r="E221" s="81"/>
    </row>
    <row r="222" spans="1:5" ht="15.75" thickBot="1">
      <c r="A222" s="81"/>
      <c r="B222" s="81"/>
      <c r="C222" s="81" t="s">
        <v>502</v>
      </c>
      <c r="D222" s="81" t="s">
        <v>487</v>
      </c>
      <c r="E222" s="81"/>
    </row>
    <row r="223" spans="1:5" ht="105.75" thickTop="1">
      <c r="A223" s="83" t="s">
        <v>738</v>
      </c>
      <c r="B223" s="83" t="s">
        <v>829</v>
      </c>
      <c r="C223" s="90" t="s">
        <v>488</v>
      </c>
      <c r="D223" s="90" t="s">
        <v>493</v>
      </c>
      <c r="E223" s="91" t="s">
        <v>830</v>
      </c>
    </row>
    <row r="224" spans="1:5" ht="15.75" customHeight="1">
      <c r="A224" s="85"/>
      <c r="B224" s="85"/>
      <c r="C224" s="85" t="s">
        <v>440</v>
      </c>
      <c r="D224" s="85" t="s">
        <v>482</v>
      </c>
      <c r="E224" s="85"/>
    </row>
    <row r="225" spans="1:5" ht="15">
      <c r="A225" s="85"/>
      <c r="B225" s="85"/>
      <c r="C225" s="85" t="s">
        <v>408</v>
      </c>
      <c r="D225" s="85" t="s">
        <v>482</v>
      </c>
      <c r="E225" s="85"/>
    </row>
    <row r="226" spans="1:5" ht="15">
      <c r="A226" s="85"/>
      <c r="B226" s="85"/>
      <c r="C226" s="85" t="s">
        <v>397</v>
      </c>
      <c r="D226" s="85" t="s">
        <v>493</v>
      </c>
      <c r="E226" s="85"/>
    </row>
    <row r="227" spans="1:5" ht="15">
      <c r="A227" s="85"/>
      <c r="B227" s="85"/>
      <c r="C227" s="85" t="s">
        <v>327</v>
      </c>
      <c r="D227" s="85" t="s">
        <v>493</v>
      </c>
      <c r="E227" s="85"/>
    </row>
    <row r="228" spans="1:5" ht="15">
      <c r="A228" s="85"/>
      <c r="B228" s="85"/>
      <c r="C228" s="85" t="s">
        <v>489</v>
      </c>
      <c r="D228" s="85" t="s">
        <v>494</v>
      </c>
      <c r="E228" s="85"/>
    </row>
    <row r="229" spans="1:5" ht="15">
      <c r="A229" s="85"/>
      <c r="B229" s="85"/>
      <c r="C229" s="85" t="s">
        <v>364</v>
      </c>
      <c r="D229" s="85" t="s">
        <v>494</v>
      </c>
      <c r="E229" s="85"/>
    </row>
    <row r="230" spans="1:5" ht="15">
      <c r="A230" s="85"/>
      <c r="B230" s="85"/>
      <c r="C230" s="85" t="s">
        <v>666</v>
      </c>
      <c r="D230" s="85" t="s">
        <v>496</v>
      </c>
      <c r="E230" s="85"/>
    </row>
    <row r="231" spans="1:5" ht="15">
      <c r="A231" s="85"/>
      <c r="B231" s="85"/>
      <c r="C231" s="85" t="s">
        <v>477</v>
      </c>
      <c r="D231" s="85" t="s">
        <v>484</v>
      </c>
      <c r="E231" s="85"/>
    </row>
    <row r="232" spans="1:5" ht="15.75" customHeight="1">
      <c r="A232" s="85"/>
      <c r="B232" s="85"/>
      <c r="C232" s="85" t="s">
        <v>490</v>
      </c>
      <c r="D232" s="85" t="s">
        <v>505</v>
      </c>
      <c r="E232" s="85"/>
    </row>
    <row r="233" spans="1:5" ht="15">
      <c r="A233" s="85"/>
      <c r="B233" s="85"/>
      <c r="C233" s="85" t="s">
        <v>478</v>
      </c>
      <c r="D233" s="85" t="s">
        <v>485</v>
      </c>
      <c r="E233" s="85"/>
    </row>
    <row r="234" spans="1:5" ht="15">
      <c r="A234" s="85"/>
      <c r="B234" s="85"/>
      <c r="C234" s="85" t="s">
        <v>479</v>
      </c>
      <c r="D234" s="85" t="s">
        <v>667</v>
      </c>
      <c r="E234" s="85"/>
    </row>
    <row r="235" spans="1:5" ht="15">
      <c r="A235" s="85"/>
      <c r="B235" s="85"/>
      <c r="C235" s="85" t="s">
        <v>492</v>
      </c>
      <c r="D235" s="85" t="s">
        <v>487</v>
      </c>
      <c r="E235" s="85"/>
    </row>
    <row r="236" spans="1:5" ht="15">
      <c r="A236" s="85"/>
      <c r="B236" s="85"/>
      <c r="C236" s="85" t="s">
        <v>480</v>
      </c>
      <c r="D236" s="85" t="s">
        <v>487</v>
      </c>
      <c r="E236" s="85"/>
    </row>
    <row r="237" spans="1:5" ht="15.75" customHeight="1" thickBot="1">
      <c r="A237" s="85"/>
      <c r="B237" s="85"/>
      <c r="C237" s="85" t="s">
        <v>502</v>
      </c>
      <c r="D237" s="85" t="s">
        <v>487</v>
      </c>
      <c r="E237" s="85"/>
    </row>
    <row r="238" spans="1:5" ht="30.75" thickTop="1">
      <c r="A238" s="86" t="s">
        <v>741</v>
      </c>
      <c r="B238" s="86" t="s">
        <v>831</v>
      </c>
      <c r="C238" s="87" t="s">
        <v>832</v>
      </c>
      <c r="D238" s="87" t="s">
        <v>481</v>
      </c>
      <c r="E238" s="87" t="s">
        <v>833</v>
      </c>
    </row>
    <row r="239" spans="1:5" ht="15">
      <c r="A239" s="81"/>
      <c r="B239" s="81"/>
      <c r="C239" s="81" t="s">
        <v>763</v>
      </c>
      <c r="D239" s="81" t="s">
        <v>487</v>
      </c>
      <c r="E239" s="81"/>
    </row>
    <row r="240" spans="1:5" ht="15">
      <c r="A240" s="81"/>
      <c r="B240" s="81"/>
      <c r="C240" s="81" t="s">
        <v>479</v>
      </c>
      <c r="D240" s="81" t="s">
        <v>667</v>
      </c>
      <c r="E240" s="81"/>
    </row>
    <row r="241" spans="1:5" ht="15">
      <c r="A241" s="81"/>
      <c r="B241" s="81"/>
      <c r="C241" s="81" t="s">
        <v>492</v>
      </c>
      <c r="D241" s="81" t="s">
        <v>487</v>
      </c>
      <c r="E241" s="81"/>
    </row>
    <row r="242" spans="1:5" ht="29.25" customHeight="1" thickBot="1">
      <c r="A242" s="81"/>
      <c r="B242" s="81"/>
      <c r="C242" s="81" t="s">
        <v>480</v>
      </c>
      <c r="D242" s="81" t="s">
        <v>487</v>
      </c>
      <c r="E242" s="81"/>
    </row>
    <row r="243" spans="1:5" ht="15.75" hidden="1" customHeight="1" thickBot="1">
      <c r="A243" s="85"/>
      <c r="B243" s="85"/>
      <c r="C243" s="99" t="s">
        <v>573</v>
      </c>
      <c r="D243" s="100">
        <v>10</v>
      </c>
      <c r="E243" s="85"/>
    </row>
    <row r="244" spans="1:5" ht="16.5" customHeight="1" thickTop="1">
      <c r="A244" s="83" t="s">
        <v>743</v>
      </c>
      <c r="B244" s="83" t="s">
        <v>834</v>
      </c>
      <c r="C244" s="90" t="s">
        <v>440</v>
      </c>
      <c r="D244" s="90" t="s">
        <v>481</v>
      </c>
      <c r="E244" s="91" t="s">
        <v>835</v>
      </c>
    </row>
    <row r="245" spans="1:5" ht="15">
      <c r="A245" s="85"/>
      <c r="B245" s="85"/>
      <c r="C245" s="85" t="s">
        <v>666</v>
      </c>
      <c r="D245" s="85" t="s">
        <v>496</v>
      </c>
      <c r="E245" s="85"/>
    </row>
    <row r="246" spans="1:5" ht="15">
      <c r="A246" s="85"/>
      <c r="B246" s="85"/>
      <c r="C246" s="85" t="s">
        <v>477</v>
      </c>
      <c r="D246" s="85" t="s">
        <v>496</v>
      </c>
      <c r="E246" s="85"/>
    </row>
    <row r="247" spans="1:5" ht="15">
      <c r="A247" s="85"/>
      <c r="B247" s="85"/>
      <c r="C247" s="85" t="s">
        <v>478</v>
      </c>
      <c r="D247" s="85" t="s">
        <v>485</v>
      </c>
      <c r="E247" s="85"/>
    </row>
    <row r="248" spans="1:5" ht="15">
      <c r="A248" s="85"/>
      <c r="B248" s="85"/>
      <c r="C248" s="85" t="s">
        <v>479</v>
      </c>
      <c r="D248" s="85" t="s">
        <v>667</v>
      </c>
      <c r="E248" s="85"/>
    </row>
    <row r="249" spans="1:5" ht="15.75" thickBot="1">
      <c r="A249" s="85"/>
      <c r="B249" s="85"/>
      <c r="C249" s="85" t="s">
        <v>836</v>
      </c>
      <c r="D249" s="85" t="s">
        <v>494</v>
      </c>
      <c r="E249" s="85"/>
    </row>
    <row r="250" spans="1:5" ht="75.75" thickTop="1">
      <c r="A250" s="86" t="s">
        <v>747</v>
      </c>
      <c r="B250" s="86" t="s">
        <v>837</v>
      </c>
      <c r="C250" s="87" t="s">
        <v>794</v>
      </c>
      <c r="D250" s="87" t="s">
        <v>481</v>
      </c>
      <c r="E250" s="87" t="s">
        <v>838</v>
      </c>
    </row>
    <row r="251" spans="1:5" ht="15">
      <c r="A251" s="81"/>
      <c r="B251" s="81"/>
      <c r="C251" s="81" t="s">
        <v>666</v>
      </c>
      <c r="D251" s="81" t="s">
        <v>496</v>
      </c>
      <c r="E251" s="81"/>
    </row>
    <row r="252" spans="1:5" ht="15">
      <c r="A252" s="81"/>
      <c r="B252" s="81"/>
      <c r="C252" s="81" t="s">
        <v>477</v>
      </c>
      <c r="D252" s="81" t="s">
        <v>496</v>
      </c>
      <c r="E252" s="81"/>
    </row>
    <row r="253" spans="1:5" ht="15">
      <c r="A253" s="81"/>
      <c r="B253" s="81"/>
      <c r="C253" s="81" t="s">
        <v>478</v>
      </c>
      <c r="D253" s="81" t="s">
        <v>485</v>
      </c>
      <c r="E253" s="81"/>
    </row>
    <row r="254" spans="1:5" ht="15">
      <c r="A254" s="81"/>
      <c r="B254" s="81"/>
      <c r="C254" s="81" t="s">
        <v>479</v>
      </c>
      <c r="D254" s="81" t="s">
        <v>667</v>
      </c>
      <c r="E254" s="81"/>
    </row>
    <row r="255" spans="1:5" ht="15">
      <c r="A255" s="81"/>
      <c r="B255" s="81"/>
      <c r="C255" s="81" t="s">
        <v>520</v>
      </c>
      <c r="D255" s="81" t="s">
        <v>494</v>
      </c>
      <c r="E255" s="81"/>
    </row>
    <row r="256" spans="1:5" ht="15">
      <c r="A256" s="81"/>
      <c r="B256" s="81"/>
      <c r="C256" s="81" t="s">
        <v>364</v>
      </c>
      <c r="D256" s="81" t="s">
        <v>494</v>
      </c>
      <c r="E256" s="81"/>
    </row>
    <row r="257" spans="1:5" ht="15">
      <c r="A257" s="85"/>
      <c r="B257" s="85"/>
      <c r="C257" s="85"/>
      <c r="D257" s="85"/>
      <c r="E257" s="85"/>
    </row>
    <row r="258" spans="1:5" ht="15">
      <c r="A258" s="85"/>
      <c r="B258" s="85"/>
      <c r="C258" s="85"/>
      <c r="D258" s="85"/>
      <c r="E258" s="85"/>
    </row>
    <row r="259" spans="1:5" ht="15">
      <c r="A259" s="85"/>
      <c r="B259" s="85"/>
      <c r="C259" s="85"/>
      <c r="D259" s="85"/>
      <c r="E259" s="85"/>
    </row>
    <row r="260" spans="1:5" ht="15">
      <c r="A260" s="85"/>
      <c r="B260" s="85"/>
      <c r="C260" s="85"/>
      <c r="D260" s="85"/>
      <c r="E260" s="85"/>
    </row>
    <row r="261" spans="1:5" ht="15">
      <c r="A261" s="85"/>
      <c r="B261" s="85"/>
      <c r="C261" s="85"/>
      <c r="D261" s="85"/>
      <c r="E261" s="85"/>
    </row>
    <row r="262" spans="1:5" ht="15">
      <c r="A262" s="85"/>
      <c r="B262" s="85"/>
      <c r="C262" s="85"/>
      <c r="D262" s="85"/>
      <c r="E262" s="85"/>
    </row>
    <row r="263" spans="1:5" ht="15">
      <c r="A263" s="85"/>
      <c r="B263" s="85"/>
      <c r="C263" s="85"/>
      <c r="D263" s="85"/>
      <c r="E263" s="85"/>
    </row>
    <row r="264" spans="1:5" ht="15">
      <c r="A264" s="85"/>
      <c r="B264" s="85"/>
      <c r="C264" s="85"/>
      <c r="D264" s="85"/>
      <c r="E264" s="85"/>
    </row>
    <row r="265" spans="1:5" ht="15">
      <c r="A265" s="85"/>
      <c r="B265" s="85"/>
      <c r="C265" s="85"/>
      <c r="D265" s="85"/>
      <c r="E265" s="85"/>
    </row>
    <row r="266" spans="1:5" ht="15">
      <c r="A266" s="85"/>
      <c r="B266" s="85"/>
      <c r="C266" s="85"/>
      <c r="D266" s="85"/>
      <c r="E266" s="85"/>
    </row>
    <row r="267" spans="1:5" ht="15">
      <c r="A267" s="85"/>
      <c r="B267" s="85"/>
      <c r="C267" s="85"/>
      <c r="D267" s="85"/>
      <c r="E267" s="85"/>
    </row>
    <row r="268" spans="1:5" ht="15">
      <c r="A268" s="85"/>
      <c r="B268" s="85"/>
      <c r="C268" s="85"/>
      <c r="D268" s="85"/>
      <c r="E268" s="85"/>
    </row>
    <row r="269" spans="1:5" ht="15">
      <c r="A269" s="85"/>
      <c r="B269" s="85"/>
      <c r="C269" s="85"/>
      <c r="D269" s="85"/>
      <c r="E269" s="85"/>
    </row>
    <row r="270" spans="1:5" ht="15">
      <c r="A270" s="85"/>
      <c r="B270" s="85"/>
      <c r="C270" s="85"/>
      <c r="D270" s="85"/>
      <c r="E270" s="85"/>
    </row>
    <row r="271" spans="1:5" ht="15">
      <c r="A271" s="85"/>
      <c r="B271" s="85"/>
      <c r="C271" s="85"/>
      <c r="D271" s="85"/>
      <c r="E271" s="85"/>
    </row>
    <row r="272" spans="1:5" ht="15">
      <c r="A272" s="85"/>
      <c r="B272" s="85"/>
      <c r="C272" s="85"/>
      <c r="D272" s="85"/>
      <c r="E272" s="85"/>
    </row>
    <row r="273" spans="1:5" ht="15">
      <c r="A273" s="85"/>
      <c r="B273" s="85"/>
      <c r="C273" s="85"/>
      <c r="D273" s="85"/>
      <c r="E273" s="85"/>
    </row>
    <row r="274" spans="1:5" ht="15">
      <c r="A274" s="85"/>
      <c r="B274" s="85"/>
      <c r="C274" s="85"/>
      <c r="D274" s="85"/>
      <c r="E274" s="85"/>
    </row>
    <row r="275" spans="1:5" ht="15">
      <c r="A275" s="85"/>
      <c r="B275" s="85"/>
      <c r="C275" s="85"/>
      <c r="D275" s="85"/>
      <c r="E275" s="85"/>
    </row>
    <row r="276" spans="1:5" ht="15">
      <c r="A276" s="85"/>
      <c r="B276" s="85"/>
      <c r="C276" s="85"/>
      <c r="D276" s="85"/>
      <c r="E276" s="85"/>
    </row>
    <row r="277" spans="1:5" ht="15">
      <c r="A277" s="85"/>
      <c r="B277" s="85"/>
      <c r="C277" s="85"/>
      <c r="D277" s="85"/>
      <c r="E277" s="85"/>
    </row>
    <row r="278" spans="1:5" ht="15">
      <c r="A278" s="85"/>
      <c r="B278" s="85"/>
      <c r="C278" s="85"/>
      <c r="D278" s="85"/>
      <c r="E278" s="85"/>
    </row>
    <row r="279" spans="1:5" ht="15">
      <c r="A279" s="85"/>
      <c r="B279" s="85"/>
      <c r="C279" s="85"/>
      <c r="D279" s="85"/>
      <c r="E279" s="85"/>
    </row>
    <row r="280" spans="1:5" ht="15">
      <c r="A280" s="85"/>
      <c r="B280" s="85"/>
      <c r="C280" s="85"/>
      <c r="D280" s="85"/>
      <c r="E280" s="85"/>
    </row>
    <row r="281" spans="1:5" ht="15">
      <c r="A281" s="85"/>
      <c r="B281" s="85"/>
      <c r="C281" s="85"/>
      <c r="D281" s="85"/>
      <c r="E281" s="85"/>
    </row>
    <row r="282" spans="1:5" ht="15">
      <c r="A282" s="85"/>
      <c r="B282" s="85"/>
      <c r="C282" s="85"/>
      <c r="D282" s="85"/>
      <c r="E282" s="85"/>
    </row>
    <row r="283" spans="1:5" ht="15">
      <c r="A283" s="85"/>
      <c r="B283" s="85"/>
      <c r="C283" s="85"/>
      <c r="D283" s="85"/>
      <c r="E283" s="85"/>
    </row>
    <row r="284" spans="1:5" ht="15">
      <c r="A284" s="85"/>
      <c r="B284" s="85"/>
      <c r="C284" s="85"/>
      <c r="D284" s="85"/>
      <c r="E284" s="85"/>
    </row>
    <row r="285" spans="1:5" ht="15">
      <c r="A285" s="85"/>
      <c r="B285" s="85"/>
      <c r="C285" s="85"/>
      <c r="D285" s="85"/>
      <c r="E285" s="85"/>
    </row>
    <row r="286" spans="1:5" ht="15">
      <c r="A286" s="85"/>
      <c r="B286" s="85"/>
      <c r="C286" s="85"/>
      <c r="D286" s="85"/>
      <c r="E286" s="85"/>
    </row>
    <row r="287" spans="1:5" ht="15">
      <c r="A287" s="85"/>
      <c r="B287" s="85"/>
      <c r="C287" s="85"/>
      <c r="D287" s="85"/>
      <c r="E287" s="85"/>
    </row>
    <row r="288" spans="1:5" ht="15">
      <c r="A288" s="85"/>
      <c r="B288" s="85"/>
      <c r="C288" s="85"/>
      <c r="D288" s="85"/>
      <c r="E288" s="85"/>
    </row>
    <row r="289" spans="1:5" ht="15">
      <c r="A289" s="85"/>
      <c r="B289" s="85"/>
      <c r="C289" s="85"/>
      <c r="D289" s="85"/>
      <c r="E289" s="85"/>
    </row>
    <row r="290" spans="1:5" ht="15">
      <c r="A290" s="85"/>
      <c r="B290" s="85"/>
      <c r="C290" s="85"/>
      <c r="D290" s="85"/>
      <c r="E290" s="85"/>
    </row>
    <row r="291" spans="1:5" ht="15">
      <c r="A291" s="85"/>
      <c r="B291" s="85"/>
      <c r="C291" s="85"/>
      <c r="D291" s="85"/>
      <c r="E291" s="85"/>
    </row>
    <row r="292" spans="1:5" ht="15">
      <c r="A292" s="85"/>
      <c r="B292" s="85"/>
      <c r="C292" s="85"/>
      <c r="D292" s="85"/>
      <c r="E292" s="85"/>
    </row>
    <row r="293" spans="1:5" ht="15">
      <c r="A293" s="85"/>
      <c r="B293" s="85"/>
      <c r="C293" s="85"/>
      <c r="D293" s="85"/>
      <c r="E293" s="85"/>
    </row>
    <row r="294" spans="1:5" ht="15">
      <c r="A294" s="85"/>
      <c r="B294" s="85"/>
      <c r="C294" s="85"/>
      <c r="D294" s="85"/>
      <c r="E294" s="85"/>
    </row>
    <row r="295" spans="1:5" ht="15">
      <c r="A295" s="85"/>
      <c r="B295" s="85"/>
      <c r="C295" s="85"/>
      <c r="D295" s="85"/>
      <c r="E295" s="85"/>
    </row>
    <row r="296" spans="1:5" ht="15">
      <c r="A296" s="85"/>
      <c r="B296" s="85"/>
      <c r="C296" s="85"/>
      <c r="D296" s="85"/>
      <c r="E296" s="85"/>
    </row>
    <row r="297" spans="1:5" ht="15">
      <c r="A297" s="85"/>
      <c r="B297" s="85"/>
      <c r="C297" s="85"/>
      <c r="D297" s="85"/>
      <c r="E297" s="85"/>
    </row>
  </sheetData>
  <mergeCells count="1">
    <mergeCell ref="A5:E5"/>
  </mergeCells>
  <phoneticPr fontId="9" type="noConversion"/>
  <pageMargins left="0.74803149606299213" right="0.74803149606299213" top="0" bottom="0" header="0.31496062992125984" footer="0.31496062992125984"/>
  <pageSetup scale="7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309"/>
  <sheetViews>
    <sheetView showGridLines="0" topLeftCell="A157" zoomScale="110" zoomScaleNormal="110" workbookViewId="0">
      <selection activeCell="A179" sqref="A179"/>
    </sheetView>
  </sheetViews>
  <sheetFormatPr defaultRowHeight="12.75"/>
  <cols>
    <col min="1" max="1" width="13.42578125" customWidth="1"/>
    <col min="2" max="2" width="42.5703125" customWidth="1"/>
    <col min="3" max="3" width="37.140625" customWidth="1"/>
    <col min="4" max="4" width="26.85546875" customWidth="1"/>
    <col min="5" max="5" width="65" customWidth="1"/>
  </cols>
  <sheetData>
    <row r="5" spans="1:6" ht="18.75" thickBot="1">
      <c r="A5" s="169" t="s">
        <v>322</v>
      </c>
      <c r="B5" s="169"/>
      <c r="C5" s="169"/>
      <c r="D5" s="169"/>
      <c r="E5" s="169"/>
    </row>
    <row r="6" spans="1:6" s="9" customFormat="1" ht="37.5" customHeight="1" thickTop="1" thickBot="1">
      <c r="A6" s="8" t="s">
        <v>318</v>
      </c>
      <c r="B6" s="8" t="s">
        <v>319</v>
      </c>
      <c r="C6" s="8" t="s">
        <v>316</v>
      </c>
      <c r="D6" s="8" t="s">
        <v>317</v>
      </c>
      <c r="E6" s="8" t="s">
        <v>320</v>
      </c>
    </row>
    <row r="7" spans="1:6" ht="41.25" customHeight="1" thickTop="1">
      <c r="A7" s="78" t="s">
        <v>547</v>
      </c>
      <c r="B7" s="78" t="s">
        <v>254</v>
      </c>
      <c r="C7" s="79" t="s">
        <v>565</v>
      </c>
      <c r="D7" s="79" t="s">
        <v>504</v>
      </c>
      <c r="E7" s="170" t="s">
        <v>665</v>
      </c>
    </row>
    <row r="8" spans="1:6" ht="15">
      <c r="A8" s="80"/>
      <c r="B8" s="80"/>
      <c r="C8" s="81" t="s">
        <v>514</v>
      </c>
      <c r="D8" s="81" t="s">
        <v>493</v>
      </c>
      <c r="E8" s="171"/>
    </row>
    <row r="9" spans="1:6" ht="69.75" customHeight="1">
      <c r="A9" s="80"/>
      <c r="B9" s="80"/>
      <c r="C9" s="81" t="s">
        <v>666</v>
      </c>
      <c r="D9" s="81" t="s">
        <v>496</v>
      </c>
      <c r="E9" s="171"/>
    </row>
    <row r="10" spans="1:6" ht="30" customHeight="1">
      <c r="A10" s="80"/>
      <c r="B10" s="80"/>
      <c r="C10" s="81" t="s">
        <v>477</v>
      </c>
      <c r="D10" s="81" t="s">
        <v>495</v>
      </c>
      <c r="E10" s="171"/>
    </row>
    <row r="11" spans="1:6" ht="24" customHeight="1">
      <c r="A11" s="80"/>
      <c r="B11" s="80"/>
      <c r="C11" s="81" t="s">
        <v>478</v>
      </c>
      <c r="D11" s="81" t="s">
        <v>485</v>
      </c>
      <c r="E11" s="171"/>
    </row>
    <row r="12" spans="1:6" ht="15">
      <c r="A12" s="80"/>
      <c r="B12" s="80"/>
      <c r="C12" s="81" t="s">
        <v>480</v>
      </c>
      <c r="D12" s="81" t="s">
        <v>487</v>
      </c>
      <c r="E12" s="171"/>
    </row>
    <row r="13" spans="1:6" ht="15">
      <c r="A13" s="80"/>
      <c r="B13" s="80"/>
      <c r="C13" s="81" t="s">
        <v>479</v>
      </c>
      <c r="D13" s="81" t="s">
        <v>667</v>
      </c>
      <c r="E13" s="171"/>
    </row>
    <row r="14" spans="1:6" ht="15">
      <c r="A14" s="80"/>
      <c r="B14" s="80"/>
      <c r="C14" s="81" t="s">
        <v>502</v>
      </c>
      <c r="D14" s="81" t="s">
        <v>487</v>
      </c>
      <c r="E14" s="171"/>
    </row>
    <row r="15" spans="1:6" ht="15.75" thickBot="1">
      <c r="A15" s="80"/>
      <c r="B15" s="80"/>
      <c r="C15" s="81" t="s">
        <v>498</v>
      </c>
      <c r="D15" s="81" t="s">
        <v>487</v>
      </c>
      <c r="E15" s="81"/>
    </row>
    <row r="16" spans="1:6" ht="30.75" thickTop="1">
      <c r="A16" s="82" t="s">
        <v>331</v>
      </c>
      <c r="B16" s="83" t="s">
        <v>430</v>
      </c>
      <c r="C16" s="84" t="s">
        <v>551</v>
      </c>
      <c r="D16" s="84" t="s">
        <v>579</v>
      </c>
      <c r="E16" s="84" t="s">
        <v>668</v>
      </c>
      <c r="F16" s="85"/>
    </row>
    <row r="17" spans="1:6" ht="15">
      <c r="A17" s="53"/>
      <c r="B17" s="53"/>
      <c r="C17" s="85" t="s">
        <v>478</v>
      </c>
      <c r="D17" s="85" t="s">
        <v>553</v>
      </c>
      <c r="E17" s="85"/>
      <c r="F17" s="85"/>
    </row>
    <row r="18" spans="1:6" ht="15.75" thickBot="1">
      <c r="A18" s="53"/>
      <c r="B18" s="53"/>
      <c r="C18" s="85" t="s">
        <v>480</v>
      </c>
      <c r="D18" s="85" t="s">
        <v>487</v>
      </c>
      <c r="E18" s="85"/>
      <c r="F18" s="85"/>
    </row>
    <row r="19" spans="1:6" ht="75.75" thickTop="1">
      <c r="A19" s="86" t="s">
        <v>332</v>
      </c>
      <c r="B19" s="86" t="s">
        <v>669</v>
      </c>
      <c r="C19" s="87" t="s">
        <v>670</v>
      </c>
      <c r="D19" s="87" t="s">
        <v>556</v>
      </c>
      <c r="E19" s="88" t="s">
        <v>671</v>
      </c>
      <c r="F19" s="85"/>
    </row>
    <row r="20" spans="1:6" ht="15">
      <c r="A20" s="81"/>
      <c r="B20" s="81"/>
      <c r="C20" s="81" t="s">
        <v>666</v>
      </c>
      <c r="D20" s="81" t="s">
        <v>496</v>
      </c>
      <c r="E20" s="81"/>
    </row>
    <row r="21" spans="1:6" ht="80.25" customHeight="1">
      <c r="A21" s="81"/>
      <c r="B21" s="81"/>
      <c r="C21" s="81" t="s">
        <v>477</v>
      </c>
      <c r="D21" s="81" t="s">
        <v>496</v>
      </c>
      <c r="E21" s="81"/>
    </row>
    <row r="22" spans="1:6" ht="18.75" customHeight="1">
      <c r="A22" s="81"/>
      <c r="B22" s="81"/>
      <c r="C22" s="81" t="s">
        <v>478</v>
      </c>
      <c r="D22" s="81" t="s">
        <v>485</v>
      </c>
      <c r="E22" s="81"/>
    </row>
    <row r="23" spans="1:6" ht="24" customHeight="1">
      <c r="A23" s="81"/>
      <c r="B23" s="81"/>
      <c r="C23" s="81" t="s">
        <v>479</v>
      </c>
      <c r="D23" s="81" t="s">
        <v>667</v>
      </c>
      <c r="E23" s="81"/>
    </row>
    <row r="24" spans="1:6" ht="20.25" customHeight="1">
      <c r="A24" s="81"/>
      <c r="B24" s="81"/>
      <c r="C24" s="81" t="s">
        <v>502</v>
      </c>
      <c r="D24" s="81" t="s">
        <v>487</v>
      </c>
      <c r="E24" s="81"/>
    </row>
    <row r="25" spans="1:6" ht="15">
      <c r="A25" s="81"/>
      <c r="B25" s="81"/>
      <c r="C25" s="81" t="s">
        <v>508</v>
      </c>
      <c r="D25" s="81" t="s">
        <v>487</v>
      </c>
      <c r="E25" s="81"/>
    </row>
    <row r="26" spans="1:6" ht="15">
      <c r="A26" s="81"/>
      <c r="B26" s="81"/>
      <c r="C26" s="81" t="s">
        <v>498</v>
      </c>
      <c r="D26" s="81" t="s">
        <v>487</v>
      </c>
      <c r="E26" s="81"/>
    </row>
    <row r="27" spans="1:6" ht="15">
      <c r="A27" s="81"/>
      <c r="B27" s="81"/>
      <c r="C27" s="81" t="s">
        <v>497</v>
      </c>
      <c r="D27" s="81" t="s">
        <v>487</v>
      </c>
      <c r="E27" s="81"/>
    </row>
    <row r="28" spans="1:6" ht="15.75" thickBot="1">
      <c r="A28" s="81"/>
      <c r="B28" s="81"/>
      <c r="C28" s="81" t="s">
        <v>480</v>
      </c>
      <c r="D28" s="81" t="s">
        <v>487</v>
      </c>
      <c r="E28" s="81"/>
    </row>
    <row r="29" spans="1:6" s="89" customFormat="1" ht="95.25" customHeight="1" thickTop="1">
      <c r="A29" s="83" t="s">
        <v>550</v>
      </c>
      <c r="B29" s="83" t="s">
        <v>672</v>
      </c>
      <c r="C29" s="84" t="s">
        <v>673</v>
      </c>
      <c r="D29" s="84" t="s">
        <v>556</v>
      </c>
      <c r="E29" s="84" t="s">
        <v>674</v>
      </c>
    </row>
    <row r="30" spans="1:6" ht="18.75" customHeight="1">
      <c r="A30" s="53"/>
      <c r="B30" s="53"/>
      <c r="C30" s="85" t="s">
        <v>666</v>
      </c>
      <c r="D30" s="85" t="s">
        <v>496</v>
      </c>
      <c r="E30" s="85"/>
    </row>
    <row r="31" spans="1:6" ht="15">
      <c r="A31" s="53"/>
      <c r="B31" s="53"/>
      <c r="C31" s="85" t="s">
        <v>477</v>
      </c>
      <c r="D31" s="85" t="s">
        <v>496</v>
      </c>
      <c r="E31" s="85"/>
    </row>
    <row r="32" spans="1:6" ht="15">
      <c r="A32" s="53"/>
      <c r="B32" s="53"/>
      <c r="C32" s="85" t="s">
        <v>478</v>
      </c>
      <c r="D32" s="85" t="s">
        <v>485</v>
      </c>
      <c r="E32" s="85"/>
    </row>
    <row r="33" spans="1:5" ht="15">
      <c r="A33" s="53"/>
      <c r="B33" s="53"/>
      <c r="C33" s="85" t="s">
        <v>479</v>
      </c>
      <c r="D33" s="85" t="s">
        <v>667</v>
      </c>
      <c r="E33" s="85"/>
    </row>
    <row r="34" spans="1:5" ht="15">
      <c r="A34" s="53"/>
      <c r="B34" s="53"/>
      <c r="C34" s="85" t="s">
        <v>480</v>
      </c>
      <c r="D34" s="85" t="s">
        <v>487</v>
      </c>
      <c r="E34" s="85"/>
    </row>
    <row r="35" spans="1:5" ht="15">
      <c r="A35" s="53"/>
      <c r="B35" s="53"/>
      <c r="C35" s="85" t="s">
        <v>492</v>
      </c>
      <c r="D35" s="85" t="s">
        <v>487</v>
      </c>
      <c r="E35" s="85"/>
    </row>
    <row r="36" spans="1:5" ht="15">
      <c r="A36" s="53"/>
      <c r="B36" s="53"/>
      <c r="C36" s="85" t="s">
        <v>497</v>
      </c>
      <c r="D36" s="85" t="s">
        <v>487</v>
      </c>
      <c r="E36" s="85"/>
    </row>
    <row r="37" spans="1:5" ht="99.75" customHeight="1">
      <c r="A37" s="53"/>
      <c r="B37" s="53"/>
      <c r="C37" s="85" t="s">
        <v>498</v>
      </c>
      <c r="D37" s="85" t="s">
        <v>487</v>
      </c>
      <c r="E37" s="85"/>
    </row>
    <row r="38" spans="1:5" ht="22.5" customHeight="1">
      <c r="A38" s="53"/>
      <c r="B38" s="53"/>
      <c r="C38" s="85" t="s">
        <v>502</v>
      </c>
      <c r="D38" s="85" t="s">
        <v>487</v>
      </c>
      <c r="E38" s="53"/>
    </row>
    <row r="39" spans="1:5" ht="24.75" customHeight="1" thickBot="1">
      <c r="A39" s="53"/>
      <c r="B39" s="53"/>
      <c r="C39" s="85" t="s">
        <v>555</v>
      </c>
      <c r="D39" s="85" t="s">
        <v>487</v>
      </c>
      <c r="E39" s="53"/>
    </row>
    <row r="40" spans="1:5" ht="60.75" thickTop="1">
      <c r="A40" s="86" t="s">
        <v>554</v>
      </c>
      <c r="B40" s="86" t="s">
        <v>675</v>
      </c>
      <c r="C40" s="87" t="s">
        <v>676</v>
      </c>
      <c r="D40" s="87" t="s">
        <v>556</v>
      </c>
      <c r="E40" s="87" t="s">
        <v>677</v>
      </c>
    </row>
    <row r="41" spans="1:5" ht="15">
      <c r="A41" s="81"/>
      <c r="B41" s="81"/>
      <c r="C41" s="81" t="s">
        <v>364</v>
      </c>
      <c r="D41" s="81" t="s">
        <v>482</v>
      </c>
      <c r="E41" s="81"/>
    </row>
    <row r="42" spans="1:5" ht="15">
      <c r="A42" s="81"/>
      <c r="B42" s="81"/>
      <c r="C42" s="81" t="s">
        <v>477</v>
      </c>
      <c r="D42" s="81" t="s">
        <v>496</v>
      </c>
      <c r="E42" s="81"/>
    </row>
    <row r="43" spans="1:5" ht="15">
      <c r="A43" s="81"/>
      <c r="B43" s="81"/>
      <c r="C43" s="81" t="s">
        <v>478</v>
      </c>
      <c r="D43" s="81" t="s">
        <v>485</v>
      </c>
      <c r="E43" s="81"/>
    </row>
    <row r="44" spans="1:5" ht="15">
      <c r="A44" s="81"/>
      <c r="B44" s="81"/>
      <c r="C44" s="81" t="s">
        <v>479</v>
      </c>
      <c r="D44" s="81" t="s">
        <v>667</v>
      </c>
      <c r="E44" s="81"/>
    </row>
    <row r="45" spans="1:5" ht="15">
      <c r="A45" s="81"/>
      <c r="B45" s="81"/>
      <c r="C45" s="81" t="s">
        <v>497</v>
      </c>
      <c r="D45" s="81" t="s">
        <v>487</v>
      </c>
      <c r="E45" s="81"/>
    </row>
    <row r="46" spans="1:5" ht="15">
      <c r="A46" s="81"/>
      <c r="B46" s="81"/>
      <c r="C46" s="81" t="s">
        <v>492</v>
      </c>
      <c r="D46" s="81" t="s">
        <v>487</v>
      </c>
      <c r="E46" s="81"/>
    </row>
    <row r="47" spans="1:5" ht="15">
      <c r="A47" s="81"/>
      <c r="B47" s="81"/>
      <c r="C47" s="81" t="s">
        <v>498</v>
      </c>
      <c r="D47" s="81" t="s">
        <v>487</v>
      </c>
      <c r="E47" s="81"/>
    </row>
    <row r="48" spans="1:5" ht="15">
      <c r="A48" s="81"/>
      <c r="B48" s="81"/>
      <c r="C48" s="81" t="s">
        <v>502</v>
      </c>
      <c r="D48" s="81" t="s">
        <v>487</v>
      </c>
      <c r="E48" s="81"/>
    </row>
    <row r="49" spans="1:5" ht="57" customHeight="1">
      <c r="A49" s="81"/>
      <c r="B49" s="81"/>
      <c r="C49" s="81" t="s">
        <v>543</v>
      </c>
      <c r="D49" s="81" t="s">
        <v>487</v>
      </c>
      <c r="E49" s="81"/>
    </row>
    <row r="50" spans="1:5" ht="27.75" customHeight="1">
      <c r="A50" s="81"/>
      <c r="B50" s="81"/>
      <c r="C50" s="81" t="s">
        <v>480</v>
      </c>
      <c r="D50" s="81" t="s">
        <v>487</v>
      </c>
      <c r="E50" s="81"/>
    </row>
    <row r="51" spans="1:5" ht="15.75" thickBot="1">
      <c r="A51" s="81"/>
      <c r="B51" s="81"/>
      <c r="C51" s="81" t="s">
        <v>548</v>
      </c>
      <c r="D51" s="81" t="s">
        <v>487</v>
      </c>
      <c r="E51" s="81"/>
    </row>
    <row r="52" spans="1:5" ht="60.75" thickTop="1">
      <c r="A52" s="83" t="s">
        <v>557</v>
      </c>
      <c r="B52" s="83" t="s">
        <v>678</v>
      </c>
      <c r="C52" s="90" t="s">
        <v>679</v>
      </c>
      <c r="D52" s="90" t="s">
        <v>556</v>
      </c>
      <c r="E52" s="91" t="s">
        <v>680</v>
      </c>
    </row>
    <row r="53" spans="1:5" ht="15">
      <c r="A53" s="53"/>
      <c r="B53" s="53"/>
      <c r="C53" s="85" t="s">
        <v>477</v>
      </c>
      <c r="D53" s="85" t="s">
        <v>496</v>
      </c>
      <c r="E53" s="53"/>
    </row>
    <row r="54" spans="1:5" ht="82.5" customHeight="1">
      <c r="A54" s="53"/>
      <c r="B54" s="53"/>
      <c r="C54" s="85" t="s">
        <v>478</v>
      </c>
      <c r="D54" s="85" t="s">
        <v>485</v>
      </c>
      <c r="E54" s="53"/>
    </row>
    <row r="55" spans="1:5" ht="23.25" customHeight="1">
      <c r="A55" s="53"/>
      <c r="B55" s="53"/>
      <c r="C55" s="85" t="s">
        <v>479</v>
      </c>
      <c r="D55" s="85" t="s">
        <v>667</v>
      </c>
      <c r="E55" s="53"/>
    </row>
    <row r="56" spans="1:5" ht="15">
      <c r="A56" s="53"/>
      <c r="B56" s="53"/>
      <c r="C56" s="85" t="s">
        <v>480</v>
      </c>
      <c r="D56" s="85" t="s">
        <v>487</v>
      </c>
      <c r="E56" s="53"/>
    </row>
    <row r="57" spans="1:5" ht="15">
      <c r="A57" s="53"/>
      <c r="B57" s="53"/>
      <c r="C57" s="85" t="s">
        <v>492</v>
      </c>
      <c r="D57" s="85" t="s">
        <v>487</v>
      </c>
      <c r="E57" s="53"/>
    </row>
    <row r="58" spans="1:5" ht="15">
      <c r="A58" s="53"/>
      <c r="B58" s="53"/>
      <c r="C58" s="85" t="s">
        <v>497</v>
      </c>
      <c r="D58" s="85" t="s">
        <v>487</v>
      </c>
      <c r="E58" s="53"/>
    </row>
    <row r="59" spans="1:5" ht="15">
      <c r="A59" s="53"/>
      <c r="B59" s="53"/>
      <c r="C59" s="85" t="s">
        <v>498</v>
      </c>
      <c r="D59" s="85" t="s">
        <v>487</v>
      </c>
      <c r="E59" s="53"/>
    </row>
    <row r="60" spans="1:5" ht="15">
      <c r="A60" s="53"/>
      <c r="B60" s="53"/>
      <c r="C60" s="85" t="s">
        <v>502</v>
      </c>
      <c r="D60" s="85" t="s">
        <v>487</v>
      </c>
      <c r="E60" s="53"/>
    </row>
    <row r="61" spans="1:5" ht="15.75" thickBot="1">
      <c r="A61" s="53"/>
      <c r="B61" s="53"/>
      <c r="C61" s="85" t="s">
        <v>555</v>
      </c>
      <c r="D61" s="85" t="s">
        <v>487</v>
      </c>
      <c r="E61" s="53"/>
    </row>
    <row r="62" spans="1:5" ht="85.5" customHeight="1" thickTop="1">
      <c r="A62" s="86" t="s">
        <v>558</v>
      </c>
      <c r="B62" s="86" t="s">
        <v>681</v>
      </c>
      <c r="C62" s="87" t="s">
        <v>367</v>
      </c>
      <c r="D62" s="87" t="s">
        <v>682</v>
      </c>
      <c r="E62" s="87" t="s">
        <v>683</v>
      </c>
    </row>
    <row r="63" spans="1:5" ht="15">
      <c r="A63" s="81"/>
      <c r="B63" s="81"/>
      <c r="C63" s="81" t="s">
        <v>364</v>
      </c>
      <c r="D63" s="81" t="s">
        <v>482</v>
      </c>
      <c r="E63" s="81"/>
    </row>
    <row r="64" spans="1:5" ht="24" customHeight="1">
      <c r="A64" s="81"/>
      <c r="B64" s="81"/>
      <c r="C64" s="81" t="s">
        <v>477</v>
      </c>
      <c r="D64" s="81" t="s">
        <v>496</v>
      </c>
      <c r="E64" s="81"/>
    </row>
    <row r="65" spans="1:5" ht="15">
      <c r="A65" s="81"/>
      <c r="B65" s="81"/>
      <c r="C65" s="81" t="s">
        <v>478</v>
      </c>
      <c r="D65" s="81" t="s">
        <v>485</v>
      </c>
      <c r="E65" s="81"/>
    </row>
    <row r="66" spans="1:5" ht="15">
      <c r="A66" s="81"/>
      <c r="B66" s="81"/>
      <c r="C66" s="81" t="s">
        <v>479</v>
      </c>
      <c r="D66" s="81" t="s">
        <v>667</v>
      </c>
      <c r="E66" s="81"/>
    </row>
    <row r="67" spans="1:5" ht="15">
      <c r="A67" s="81"/>
      <c r="B67" s="81"/>
      <c r="C67" s="81" t="s">
        <v>497</v>
      </c>
      <c r="D67" s="81" t="s">
        <v>487</v>
      </c>
      <c r="E67" s="81"/>
    </row>
    <row r="68" spans="1:5" ht="15">
      <c r="A68" s="81"/>
      <c r="B68" s="81"/>
      <c r="C68" s="81" t="s">
        <v>492</v>
      </c>
      <c r="D68" s="81" t="s">
        <v>487</v>
      </c>
      <c r="E68" s="81"/>
    </row>
    <row r="69" spans="1:5" ht="15">
      <c r="A69" s="81"/>
      <c r="B69" s="81"/>
      <c r="C69" s="81" t="s">
        <v>498</v>
      </c>
      <c r="D69" s="81" t="s">
        <v>487</v>
      </c>
      <c r="E69" s="81"/>
    </row>
    <row r="70" spans="1:5" ht="15">
      <c r="A70" s="81"/>
      <c r="B70" s="81"/>
      <c r="C70" s="81" t="s">
        <v>502</v>
      </c>
      <c r="D70" s="81" t="s">
        <v>487</v>
      </c>
      <c r="E70" s="81"/>
    </row>
    <row r="71" spans="1:5" ht="15">
      <c r="A71" s="81"/>
      <c r="B71" s="81"/>
      <c r="C71" s="81" t="s">
        <v>543</v>
      </c>
      <c r="D71" s="81" t="s">
        <v>487</v>
      </c>
      <c r="E71" s="81"/>
    </row>
    <row r="72" spans="1:5" ht="13.5" customHeight="1">
      <c r="A72" s="81"/>
      <c r="B72" s="81"/>
      <c r="C72" s="81" t="s">
        <v>480</v>
      </c>
      <c r="D72" s="81" t="s">
        <v>487</v>
      </c>
      <c r="E72" s="81"/>
    </row>
    <row r="73" spans="1:5" ht="13.5" customHeight="1" thickBot="1">
      <c r="A73" s="81"/>
      <c r="B73" s="81"/>
      <c r="C73" s="81" t="s">
        <v>548</v>
      </c>
      <c r="D73" s="81" t="s">
        <v>487</v>
      </c>
      <c r="E73" s="81"/>
    </row>
    <row r="74" spans="1:5" ht="120" customHeight="1" thickTop="1">
      <c r="A74" s="83" t="s">
        <v>333</v>
      </c>
      <c r="B74" s="83" t="s">
        <v>684</v>
      </c>
      <c r="C74" s="90" t="s">
        <v>559</v>
      </c>
      <c r="D74" s="90" t="s">
        <v>504</v>
      </c>
      <c r="E74" s="91" t="s">
        <v>685</v>
      </c>
    </row>
    <row r="75" spans="1:5" ht="15">
      <c r="A75" s="53"/>
      <c r="B75" s="92"/>
      <c r="C75" s="85" t="s">
        <v>560</v>
      </c>
      <c r="D75" s="85" t="s">
        <v>525</v>
      </c>
      <c r="E75" s="85"/>
    </row>
    <row r="76" spans="1:5" ht="15">
      <c r="A76" s="53"/>
      <c r="B76" s="53"/>
      <c r="C76" s="85" t="s">
        <v>500</v>
      </c>
      <c r="D76" s="85" t="s">
        <v>541</v>
      </c>
      <c r="E76" s="85"/>
    </row>
    <row r="77" spans="1:5" ht="15">
      <c r="A77" s="53"/>
      <c r="B77" s="53"/>
      <c r="C77" s="85" t="s">
        <v>477</v>
      </c>
      <c r="D77" s="85" t="s">
        <v>496</v>
      </c>
      <c r="E77" s="85"/>
    </row>
    <row r="78" spans="1:5" ht="15">
      <c r="A78" s="53"/>
      <c r="B78" s="53"/>
      <c r="C78" s="85" t="s">
        <v>478</v>
      </c>
      <c r="D78" s="85" t="s">
        <v>553</v>
      </c>
      <c r="E78" s="85"/>
    </row>
    <row r="79" spans="1:5" ht="15">
      <c r="A79" s="53"/>
      <c r="B79" s="53"/>
      <c r="C79" s="85" t="s">
        <v>686</v>
      </c>
      <c r="D79" s="85" t="s">
        <v>494</v>
      </c>
      <c r="E79" s="85"/>
    </row>
    <row r="80" spans="1:5" ht="15">
      <c r="A80" s="53"/>
      <c r="B80" s="53"/>
      <c r="C80" s="85" t="s">
        <v>479</v>
      </c>
      <c r="D80" s="85" t="s">
        <v>667</v>
      </c>
      <c r="E80" s="85"/>
    </row>
    <row r="81" spans="1:5" ht="15">
      <c r="A81" s="53"/>
      <c r="B81" s="53"/>
      <c r="C81" s="85" t="s">
        <v>497</v>
      </c>
      <c r="D81" s="85" t="s">
        <v>487</v>
      </c>
      <c r="E81" s="85"/>
    </row>
    <row r="82" spans="1:5" ht="15.75" thickBot="1">
      <c r="A82" s="53"/>
      <c r="B82" s="53"/>
      <c r="C82" s="85" t="s">
        <v>539</v>
      </c>
      <c r="D82" s="85" t="s">
        <v>487</v>
      </c>
      <c r="E82" s="85"/>
    </row>
    <row r="83" spans="1:5" ht="99" customHeight="1" thickTop="1">
      <c r="A83" s="86" t="s">
        <v>561</v>
      </c>
      <c r="B83" s="86" t="s">
        <v>459</v>
      </c>
      <c r="C83" s="87" t="s">
        <v>500</v>
      </c>
      <c r="D83" s="87" t="s">
        <v>503</v>
      </c>
      <c r="E83" s="87" t="s">
        <v>687</v>
      </c>
    </row>
    <row r="84" spans="1:5" ht="15">
      <c r="A84" s="81"/>
      <c r="B84" s="81"/>
      <c r="C84" s="81" t="s">
        <v>688</v>
      </c>
      <c r="D84" s="81" t="s">
        <v>519</v>
      </c>
      <c r="E84" s="81"/>
    </row>
    <row r="85" spans="1:5" ht="24" customHeight="1">
      <c r="A85" s="81"/>
      <c r="B85" s="81"/>
      <c r="C85" s="81" t="s">
        <v>562</v>
      </c>
      <c r="D85" s="81" t="s">
        <v>504</v>
      </c>
      <c r="E85" s="81"/>
    </row>
    <row r="86" spans="1:5" ht="15">
      <c r="A86" s="81"/>
      <c r="B86" s="81"/>
      <c r="C86" s="81" t="s">
        <v>477</v>
      </c>
      <c r="D86" s="81" t="s">
        <v>496</v>
      </c>
      <c r="E86" s="81"/>
    </row>
    <row r="87" spans="1:5" ht="15">
      <c r="A87" s="81"/>
      <c r="B87" s="81"/>
      <c r="C87" s="81" t="s">
        <v>478</v>
      </c>
      <c r="D87" s="81" t="s">
        <v>553</v>
      </c>
      <c r="E87" s="81"/>
    </row>
    <row r="88" spans="1:5" ht="15">
      <c r="A88" s="81"/>
      <c r="B88" s="81"/>
      <c r="C88" s="81" t="s">
        <v>689</v>
      </c>
      <c r="D88" s="81" t="s">
        <v>484</v>
      </c>
      <c r="E88" s="81"/>
    </row>
    <row r="89" spans="1:5" ht="15">
      <c r="A89" s="81"/>
      <c r="B89" s="81"/>
      <c r="C89" s="81" t="s">
        <v>563</v>
      </c>
      <c r="D89" s="81" t="s">
        <v>487</v>
      </c>
      <c r="E89" s="81"/>
    </row>
    <row r="90" spans="1:5" ht="15">
      <c r="A90" s="81"/>
      <c r="B90" s="81"/>
      <c r="C90" s="81" t="s">
        <v>480</v>
      </c>
      <c r="D90" s="81" t="s">
        <v>487</v>
      </c>
      <c r="E90" s="81"/>
    </row>
    <row r="91" spans="1:5" ht="15.75" thickBot="1">
      <c r="A91" s="81"/>
      <c r="B91" s="81"/>
      <c r="C91" s="81" t="s">
        <v>502</v>
      </c>
      <c r="D91" s="81" t="s">
        <v>487</v>
      </c>
      <c r="E91" s="81"/>
    </row>
    <row r="92" spans="1:5" ht="75.75" thickTop="1">
      <c r="A92" s="83" t="s">
        <v>564</v>
      </c>
      <c r="B92" s="83" t="s">
        <v>690</v>
      </c>
      <c r="C92" s="90" t="s">
        <v>691</v>
      </c>
      <c r="D92" s="90">
        <v>170</v>
      </c>
      <c r="E92" s="91" t="s">
        <v>692</v>
      </c>
    </row>
    <row r="93" spans="1:5" ht="15" customHeight="1">
      <c r="A93" s="53"/>
      <c r="B93" s="53"/>
      <c r="C93" s="85" t="s">
        <v>478</v>
      </c>
      <c r="D93" s="85">
        <v>3</v>
      </c>
    </row>
    <row r="94" spans="1:5" ht="15">
      <c r="A94" s="53"/>
      <c r="B94" s="53"/>
      <c r="C94" s="85" t="s">
        <v>479</v>
      </c>
      <c r="D94" s="85">
        <v>0.1</v>
      </c>
      <c r="E94" s="53"/>
    </row>
    <row r="95" spans="1:5" ht="15">
      <c r="A95" s="53"/>
      <c r="B95" s="53"/>
      <c r="C95" s="85" t="s">
        <v>693</v>
      </c>
      <c r="D95" s="85" t="s">
        <v>487</v>
      </c>
      <c r="E95" s="53"/>
    </row>
    <row r="96" spans="1:5" ht="15">
      <c r="A96" s="53"/>
      <c r="B96" s="53"/>
      <c r="C96" s="85" t="s">
        <v>492</v>
      </c>
      <c r="D96" s="85" t="s">
        <v>487</v>
      </c>
      <c r="E96" s="53"/>
    </row>
    <row r="97" spans="1:5" ht="15">
      <c r="A97" s="53"/>
      <c r="B97" s="53"/>
      <c r="C97" s="85" t="s">
        <v>498</v>
      </c>
      <c r="D97" s="85" t="s">
        <v>487</v>
      </c>
      <c r="E97" s="53"/>
    </row>
    <row r="98" spans="1:5" ht="15">
      <c r="A98" s="53"/>
      <c r="B98" s="53"/>
      <c r="C98" s="85" t="s">
        <v>497</v>
      </c>
      <c r="D98" s="85" t="s">
        <v>487</v>
      </c>
      <c r="E98" s="53"/>
    </row>
    <row r="99" spans="1:5" ht="15.75" thickBot="1">
      <c r="A99" s="53"/>
      <c r="B99" s="53"/>
      <c r="C99" s="85" t="s">
        <v>480</v>
      </c>
      <c r="D99" s="85" t="s">
        <v>487</v>
      </c>
      <c r="E99" s="53"/>
    </row>
    <row r="100" spans="1:5" ht="15" customHeight="1" thickTop="1">
      <c r="A100" s="86" t="s">
        <v>566</v>
      </c>
      <c r="B100" s="86" t="s">
        <v>694</v>
      </c>
      <c r="C100" s="87" t="s">
        <v>695</v>
      </c>
      <c r="D100" s="87" t="s">
        <v>556</v>
      </c>
      <c r="E100" s="87" t="s">
        <v>696</v>
      </c>
    </row>
    <row r="101" spans="1:5" ht="15">
      <c r="A101" s="81"/>
      <c r="B101" s="81"/>
      <c r="C101" s="81" t="s">
        <v>666</v>
      </c>
      <c r="D101" s="81" t="s">
        <v>496</v>
      </c>
      <c r="E101" s="81"/>
    </row>
    <row r="102" spans="1:5" ht="24.75" customHeight="1">
      <c r="A102" s="81"/>
      <c r="B102" s="81"/>
      <c r="C102" s="81" t="s">
        <v>477</v>
      </c>
      <c r="D102" s="81" t="s">
        <v>496</v>
      </c>
      <c r="E102" s="81"/>
    </row>
    <row r="103" spans="1:5" ht="15">
      <c r="A103" s="81"/>
      <c r="B103" s="81"/>
      <c r="C103" s="81" t="s">
        <v>478</v>
      </c>
      <c r="D103" s="81" t="s">
        <v>485</v>
      </c>
      <c r="E103" s="81"/>
    </row>
    <row r="104" spans="1:5" ht="15">
      <c r="A104" s="81"/>
      <c r="B104" s="81"/>
      <c r="C104" s="81" t="s">
        <v>479</v>
      </c>
      <c r="D104" s="81" t="s">
        <v>667</v>
      </c>
      <c r="E104" s="81"/>
    </row>
    <row r="105" spans="1:5" ht="15">
      <c r="A105" s="81"/>
      <c r="B105" s="81"/>
      <c r="C105" s="81" t="s">
        <v>502</v>
      </c>
      <c r="D105" s="81" t="s">
        <v>487</v>
      </c>
      <c r="E105" s="81"/>
    </row>
    <row r="106" spans="1:5" ht="15">
      <c r="A106" s="81"/>
      <c r="B106" s="81"/>
      <c r="C106" s="81" t="s">
        <v>508</v>
      </c>
      <c r="D106" s="81" t="s">
        <v>487</v>
      </c>
      <c r="E106" s="81"/>
    </row>
    <row r="107" spans="1:5" ht="15">
      <c r="A107" s="81"/>
      <c r="B107" s="81"/>
      <c r="C107" s="81" t="s">
        <v>498</v>
      </c>
      <c r="D107" s="81" t="s">
        <v>487</v>
      </c>
      <c r="E107" s="81"/>
    </row>
    <row r="108" spans="1:5" ht="15">
      <c r="A108" s="81"/>
      <c r="B108" s="81"/>
      <c r="C108" s="81" t="s">
        <v>497</v>
      </c>
      <c r="D108" s="81" t="s">
        <v>487</v>
      </c>
      <c r="E108" s="81"/>
    </row>
    <row r="109" spans="1:5" ht="15.75" thickBot="1">
      <c r="A109" s="81"/>
      <c r="B109" s="81"/>
      <c r="C109" s="81" t="s">
        <v>480</v>
      </c>
      <c r="D109" s="81" t="s">
        <v>487</v>
      </c>
      <c r="E109" s="81"/>
    </row>
    <row r="110" spans="1:5" ht="15" customHeight="1" thickTop="1">
      <c r="A110" s="83" t="s">
        <v>567</v>
      </c>
      <c r="B110" s="83" t="s">
        <v>697</v>
      </c>
      <c r="C110" s="90" t="s">
        <v>691</v>
      </c>
      <c r="D110" s="90" t="s">
        <v>556</v>
      </c>
      <c r="E110" s="91" t="s">
        <v>698</v>
      </c>
    </row>
    <row r="111" spans="1:5" ht="103.5" customHeight="1">
      <c r="A111" s="53"/>
      <c r="B111" s="53"/>
      <c r="C111" s="85" t="s">
        <v>666</v>
      </c>
      <c r="D111" s="85" t="s">
        <v>496</v>
      </c>
      <c r="E111" s="85"/>
    </row>
    <row r="112" spans="1:5" ht="15">
      <c r="A112" s="53"/>
      <c r="B112" s="53"/>
      <c r="C112" s="85" t="s">
        <v>477</v>
      </c>
      <c r="D112" s="85" t="s">
        <v>496</v>
      </c>
      <c r="E112" s="85"/>
    </row>
    <row r="113" spans="1:5" ht="15">
      <c r="A113" s="53"/>
      <c r="B113" s="53"/>
      <c r="C113" s="85" t="s">
        <v>478</v>
      </c>
      <c r="D113" s="85" t="s">
        <v>485</v>
      </c>
      <c r="E113" s="85"/>
    </row>
    <row r="114" spans="1:5" ht="15">
      <c r="A114" s="53"/>
      <c r="B114" s="53"/>
      <c r="C114" s="85" t="s">
        <v>479</v>
      </c>
      <c r="D114" s="85" t="s">
        <v>667</v>
      </c>
      <c r="E114" s="85"/>
    </row>
    <row r="115" spans="1:5" ht="15">
      <c r="A115" s="53"/>
      <c r="B115" s="53"/>
      <c r="C115" s="85" t="s">
        <v>480</v>
      </c>
      <c r="D115" s="85" t="s">
        <v>487</v>
      </c>
      <c r="E115" s="85"/>
    </row>
    <row r="116" spans="1:5" ht="15">
      <c r="A116" s="53"/>
      <c r="B116" s="53"/>
      <c r="C116" s="85" t="s">
        <v>492</v>
      </c>
      <c r="D116" s="85" t="s">
        <v>487</v>
      </c>
      <c r="E116" s="85"/>
    </row>
    <row r="117" spans="1:5" ht="30" customHeight="1">
      <c r="A117" s="53"/>
      <c r="B117" s="53"/>
      <c r="C117" s="85" t="s">
        <v>497</v>
      </c>
      <c r="D117" s="85" t="s">
        <v>487</v>
      </c>
      <c r="E117" s="85"/>
    </row>
    <row r="118" spans="1:5" ht="15">
      <c r="A118" s="53"/>
      <c r="B118" s="53"/>
      <c r="C118" s="85" t="s">
        <v>498</v>
      </c>
      <c r="D118" s="85" t="s">
        <v>487</v>
      </c>
      <c r="E118" s="85"/>
    </row>
    <row r="119" spans="1:5" ht="15">
      <c r="A119" s="53"/>
      <c r="B119" s="53"/>
      <c r="C119" s="85" t="s">
        <v>502</v>
      </c>
      <c r="D119" s="85" t="s">
        <v>487</v>
      </c>
      <c r="E119" s="85"/>
    </row>
    <row r="120" spans="1:5" ht="15.75" thickBot="1">
      <c r="A120" s="53"/>
      <c r="B120" s="53"/>
      <c r="C120" s="85" t="s">
        <v>555</v>
      </c>
      <c r="D120" s="85" t="s">
        <v>487</v>
      </c>
      <c r="E120" s="85"/>
    </row>
    <row r="121" spans="1:5" ht="81.75" customHeight="1" thickTop="1">
      <c r="A121" s="86" t="s">
        <v>568</v>
      </c>
      <c r="B121" s="86" t="s">
        <v>699</v>
      </c>
      <c r="C121" s="87" t="s">
        <v>559</v>
      </c>
      <c r="D121" s="87" t="s">
        <v>519</v>
      </c>
      <c r="E121" s="87" t="s">
        <v>700</v>
      </c>
    </row>
    <row r="122" spans="1:5" ht="15">
      <c r="A122" s="81"/>
      <c r="B122" s="81"/>
      <c r="C122" s="81" t="s">
        <v>701</v>
      </c>
      <c r="D122" s="81" t="s">
        <v>493</v>
      </c>
      <c r="E122" s="81"/>
    </row>
    <row r="123" spans="1:5" ht="15">
      <c r="A123" s="81"/>
      <c r="B123" s="81"/>
      <c r="C123" s="81" t="s">
        <v>520</v>
      </c>
      <c r="D123" s="81" t="s">
        <v>494</v>
      </c>
      <c r="E123" s="81"/>
    </row>
    <row r="124" spans="1:5" ht="15">
      <c r="A124" s="81"/>
      <c r="B124" s="81"/>
      <c r="C124" s="81" t="s">
        <v>364</v>
      </c>
      <c r="D124" s="81" t="s">
        <v>482</v>
      </c>
      <c r="E124" s="81"/>
    </row>
    <row r="125" spans="1:5" ht="15">
      <c r="A125" s="81"/>
      <c r="B125" s="81"/>
      <c r="C125" s="81" t="s">
        <v>666</v>
      </c>
      <c r="D125" s="81" t="s">
        <v>496</v>
      </c>
      <c r="E125" s="81"/>
    </row>
    <row r="126" spans="1:5" ht="15">
      <c r="A126" s="81"/>
      <c r="B126" s="81"/>
      <c r="C126" s="81" t="s">
        <v>477</v>
      </c>
      <c r="D126" s="81" t="s">
        <v>496</v>
      </c>
      <c r="E126" s="81"/>
    </row>
    <row r="127" spans="1:5" ht="15">
      <c r="A127" s="81"/>
      <c r="B127" s="81"/>
      <c r="C127" s="81" t="s">
        <v>478</v>
      </c>
      <c r="D127" s="81" t="s">
        <v>485</v>
      </c>
      <c r="E127" s="81"/>
    </row>
    <row r="128" spans="1:5" ht="15">
      <c r="A128" s="81"/>
      <c r="B128" s="81"/>
      <c r="C128" s="81" t="s">
        <v>479</v>
      </c>
      <c r="D128" s="81" t="s">
        <v>667</v>
      </c>
      <c r="E128" s="81"/>
    </row>
    <row r="129" spans="1:5" ht="15">
      <c r="A129" s="81"/>
      <c r="B129" s="81"/>
      <c r="C129" s="81" t="s">
        <v>480</v>
      </c>
      <c r="D129" s="81" t="s">
        <v>487</v>
      </c>
      <c r="E129" s="81"/>
    </row>
    <row r="130" spans="1:5" ht="15">
      <c r="A130" s="81"/>
      <c r="B130" s="81"/>
      <c r="C130" s="81" t="s">
        <v>498</v>
      </c>
      <c r="D130" s="81" t="s">
        <v>487</v>
      </c>
      <c r="E130" s="81"/>
    </row>
    <row r="131" spans="1:5" ht="154.5" customHeight="1" thickBot="1">
      <c r="A131" s="81"/>
      <c r="B131" s="81"/>
      <c r="C131" s="81" t="s">
        <v>489</v>
      </c>
      <c r="D131" s="81" t="s">
        <v>493</v>
      </c>
      <c r="E131" s="81"/>
    </row>
    <row r="132" spans="1:5" ht="60.75" thickTop="1">
      <c r="A132" s="83" t="s">
        <v>569</v>
      </c>
      <c r="B132" s="83" t="s">
        <v>702</v>
      </c>
      <c r="C132" s="90" t="s">
        <v>703</v>
      </c>
      <c r="D132" s="90" t="s">
        <v>556</v>
      </c>
      <c r="E132" s="91" t="s">
        <v>677</v>
      </c>
    </row>
    <row r="133" spans="1:5" ht="15">
      <c r="A133" s="53"/>
      <c r="B133" s="53"/>
      <c r="C133" s="85" t="s">
        <v>364</v>
      </c>
      <c r="D133" s="85" t="s">
        <v>482</v>
      </c>
      <c r="E133" s="85"/>
    </row>
    <row r="134" spans="1:5" ht="15">
      <c r="A134" s="53"/>
      <c r="B134" s="53"/>
      <c r="C134" s="85" t="s">
        <v>477</v>
      </c>
      <c r="D134" s="85" t="s">
        <v>496</v>
      </c>
      <c r="E134" s="85"/>
    </row>
    <row r="135" spans="1:5" ht="15">
      <c r="A135" s="53"/>
      <c r="B135" s="53"/>
      <c r="C135" s="85" t="s">
        <v>478</v>
      </c>
      <c r="D135" s="85" t="s">
        <v>485</v>
      </c>
      <c r="E135" s="85"/>
    </row>
    <row r="136" spans="1:5" ht="15">
      <c r="A136" s="53"/>
      <c r="B136" s="53"/>
      <c r="C136" s="85" t="s">
        <v>479</v>
      </c>
      <c r="D136" s="85" t="s">
        <v>667</v>
      </c>
      <c r="E136" s="85"/>
    </row>
    <row r="137" spans="1:5" ht="15">
      <c r="A137" s="53"/>
      <c r="B137" s="53"/>
      <c r="C137" s="85" t="s">
        <v>497</v>
      </c>
      <c r="D137" s="85" t="s">
        <v>487</v>
      </c>
      <c r="E137" s="85"/>
    </row>
    <row r="138" spans="1:5" ht="15">
      <c r="A138" s="53"/>
      <c r="B138" s="53"/>
      <c r="C138" s="85" t="s">
        <v>492</v>
      </c>
      <c r="D138" s="85" t="s">
        <v>487</v>
      </c>
      <c r="E138" s="85"/>
    </row>
    <row r="139" spans="1:5" ht="15">
      <c r="A139" s="53"/>
      <c r="B139" s="53"/>
      <c r="C139" s="85" t="s">
        <v>498</v>
      </c>
      <c r="D139" s="85" t="s">
        <v>487</v>
      </c>
      <c r="E139" s="85"/>
    </row>
    <row r="140" spans="1:5" ht="15">
      <c r="A140" s="53"/>
      <c r="B140" s="53"/>
      <c r="C140" s="85" t="s">
        <v>502</v>
      </c>
      <c r="D140" s="85" t="s">
        <v>487</v>
      </c>
      <c r="E140" s="85"/>
    </row>
    <row r="141" spans="1:5" ht="95.25" customHeight="1">
      <c r="A141" s="53"/>
      <c r="B141" s="53"/>
      <c r="C141" s="85" t="s">
        <v>543</v>
      </c>
      <c r="D141" s="85" t="s">
        <v>487</v>
      </c>
      <c r="E141" s="85"/>
    </row>
    <row r="142" spans="1:5" ht="30" customHeight="1">
      <c r="A142" s="53"/>
      <c r="B142" s="53"/>
      <c r="C142" s="85" t="s">
        <v>480</v>
      </c>
      <c r="D142" s="85" t="s">
        <v>487</v>
      </c>
      <c r="E142" s="85"/>
    </row>
    <row r="143" spans="1:5" ht="15.75" thickBot="1">
      <c r="A143" s="53"/>
      <c r="B143" s="53"/>
      <c r="C143" s="85" t="s">
        <v>548</v>
      </c>
      <c r="D143" s="85" t="s">
        <v>487</v>
      </c>
      <c r="E143" s="85"/>
    </row>
    <row r="144" spans="1:5" ht="90.75" thickTop="1">
      <c r="A144" s="86" t="s">
        <v>571</v>
      </c>
      <c r="B144" s="86" t="s">
        <v>315</v>
      </c>
      <c r="C144" s="87" t="s">
        <v>688</v>
      </c>
      <c r="D144" s="87" t="s">
        <v>552</v>
      </c>
      <c r="E144" s="93" t="s">
        <v>704</v>
      </c>
    </row>
    <row r="145" spans="1:5" ht="15">
      <c r="A145" s="81"/>
      <c r="B145" s="81"/>
      <c r="C145" s="81" t="s">
        <v>488</v>
      </c>
      <c r="D145" s="81" t="s">
        <v>493</v>
      </c>
      <c r="E145" s="81"/>
    </row>
    <row r="146" spans="1:5" ht="15">
      <c r="A146" s="81"/>
      <c r="B146" s="81"/>
      <c r="C146" s="81" t="s">
        <v>477</v>
      </c>
      <c r="D146" s="81" t="s">
        <v>496</v>
      </c>
      <c r="E146" s="81"/>
    </row>
    <row r="147" spans="1:5" ht="15">
      <c r="A147" s="81"/>
      <c r="B147" s="81"/>
      <c r="C147" s="81" t="s">
        <v>478</v>
      </c>
      <c r="D147" s="81" t="s">
        <v>553</v>
      </c>
      <c r="E147" s="81"/>
    </row>
    <row r="148" spans="1:5" ht="15">
      <c r="A148" s="81"/>
      <c r="B148" s="81"/>
      <c r="C148" s="81" t="s">
        <v>689</v>
      </c>
      <c r="D148" s="81" t="s">
        <v>484</v>
      </c>
      <c r="E148" s="81"/>
    </row>
    <row r="149" spans="1:5" ht="15">
      <c r="A149" s="81"/>
      <c r="B149" s="81"/>
      <c r="C149" s="81" t="s">
        <v>497</v>
      </c>
      <c r="D149" s="81" t="s">
        <v>487</v>
      </c>
      <c r="E149" s="81"/>
    </row>
    <row r="150" spans="1:5" ht="15">
      <c r="A150" s="81"/>
      <c r="B150" s="81"/>
      <c r="C150" s="81" t="s">
        <v>539</v>
      </c>
      <c r="D150" s="81" t="s">
        <v>487</v>
      </c>
      <c r="E150" s="81"/>
    </row>
    <row r="151" spans="1:5" ht="97.5" customHeight="1" thickBot="1">
      <c r="A151" s="81"/>
      <c r="B151" s="81"/>
      <c r="C151" s="81" t="s">
        <v>480</v>
      </c>
      <c r="D151" s="81" t="s">
        <v>487</v>
      </c>
      <c r="E151" s="81"/>
    </row>
    <row r="152" spans="1:5" ht="26.25" customHeight="1" thickTop="1">
      <c r="A152" s="83" t="s">
        <v>574</v>
      </c>
      <c r="B152" s="83" t="s">
        <v>705</v>
      </c>
      <c r="C152" s="90" t="s">
        <v>706</v>
      </c>
      <c r="D152" s="90" t="s">
        <v>556</v>
      </c>
      <c r="E152" s="91" t="s">
        <v>707</v>
      </c>
    </row>
    <row r="153" spans="1:5" ht="15">
      <c r="A153" s="53"/>
      <c r="B153" s="53"/>
      <c r="C153" s="85" t="s">
        <v>479</v>
      </c>
      <c r="D153" s="85" t="s">
        <v>667</v>
      </c>
      <c r="E153" s="85"/>
    </row>
    <row r="154" spans="1:5" ht="15">
      <c r="A154" s="53"/>
      <c r="B154" s="53"/>
      <c r="C154" s="85" t="s">
        <v>497</v>
      </c>
      <c r="D154" s="85" t="s">
        <v>487</v>
      </c>
      <c r="E154" s="85"/>
    </row>
    <row r="155" spans="1:5" ht="15">
      <c r="A155" s="53"/>
      <c r="B155" s="53"/>
      <c r="C155" s="85" t="s">
        <v>492</v>
      </c>
      <c r="D155" s="85" t="s">
        <v>487</v>
      </c>
      <c r="E155" s="85"/>
    </row>
    <row r="156" spans="1:5" ht="15.75" thickBot="1">
      <c r="A156" s="53"/>
      <c r="B156" s="53"/>
      <c r="C156" s="85" t="s">
        <v>480</v>
      </c>
      <c r="D156" s="85" t="s">
        <v>487</v>
      </c>
      <c r="E156" s="85"/>
    </row>
    <row r="157" spans="1:5" ht="60.75" thickTop="1">
      <c r="A157" s="86" t="s">
        <v>576</v>
      </c>
      <c r="B157" s="86" t="s">
        <v>708</v>
      </c>
      <c r="C157" s="87" t="s">
        <v>706</v>
      </c>
      <c r="D157" s="87" t="s">
        <v>556</v>
      </c>
      <c r="E157" s="93" t="s">
        <v>677</v>
      </c>
    </row>
    <row r="158" spans="1:5" ht="15">
      <c r="A158" s="81"/>
      <c r="B158" s="81"/>
      <c r="C158" s="81" t="s">
        <v>364</v>
      </c>
      <c r="D158" s="81" t="s">
        <v>482</v>
      </c>
      <c r="E158" s="81"/>
    </row>
    <row r="159" spans="1:5" ht="15">
      <c r="A159" s="81"/>
      <c r="B159" s="81"/>
      <c r="C159" s="81" t="s">
        <v>477</v>
      </c>
      <c r="D159" s="81" t="s">
        <v>496</v>
      </c>
      <c r="E159" s="81"/>
    </row>
    <row r="160" spans="1:5" ht="15">
      <c r="A160" s="81"/>
      <c r="B160" s="81"/>
      <c r="C160" s="81" t="s">
        <v>478</v>
      </c>
      <c r="D160" s="81" t="s">
        <v>485</v>
      </c>
      <c r="E160" s="81"/>
    </row>
    <row r="161" spans="1:5" ht="80.25" customHeight="1">
      <c r="A161" s="81"/>
      <c r="B161" s="81"/>
      <c r="C161" s="81" t="s">
        <v>479</v>
      </c>
      <c r="D161" s="81" t="s">
        <v>667</v>
      </c>
      <c r="E161" s="81"/>
    </row>
    <row r="162" spans="1:5" ht="19.5" customHeight="1">
      <c r="A162" s="81"/>
      <c r="B162" s="81"/>
      <c r="C162" s="81" t="s">
        <v>497</v>
      </c>
      <c r="D162" s="81" t="s">
        <v>487</v>
      </c>
      <c r="E162" s="81"/>
    </row>
    <row r="163" spans="1:5" ht="15">
      <c r="A163" s="81"/>
      <c r="B163" s="81"/>
      <c r="C163" s="81" t="s">
        <v>492</v>
      </c>
      <c r="D163" s="81" t="s">
        <v>487</v>
      </c>
      <c r="E163" s="81"/>
    </row>
    <row r="164" spans="1:5" ht="15">
      <c r="A164" s="81"/>
      <c r="B164" s="81"/>
      <c r="C164" s="81" t="s">
        <v>498</v>
      </c>
      <c r="D164" s="81" t="s">
        <v>487</v>
      </c>
      <c r="E164" s="81"/>
    </row>
    <row r="165" spans="1:5" ht="15">
      <c r="A165" s="81"/>
      <c r="B165" s="81"/>
      <c r="C165" s="81" t="s">
        <v>502</v>
      </c>
      <c r="D165" s="81" t="s">
        <v>487</v>
      </c>
      <c r="E165" s="81"/>
    </row>
    <row r="166" spans="1:5" ht="15">
      <c r="A166" s="81"/>
      <c r="B166" s="81"/>
      <c r="C166" s="81" t="s">
        <v>543</v>
      </c>
      <c r="D166" s="81" t="s">
        <v>487</v>
      </c>
      <c r="E166" s="81"/>
    </row>
    <row r="167" spans="1:5" ht="15">
      <c r="A167" s="81"/>
      <c r="B167" s="81"/>
      <c r="C167" s="81" t="s">
        <v>480</v>
      </c>
      <c r="D167" s="81" t="s">
        <v>487</v>
      </c>
      <c r="E167" s="81"/>
    </row>
    <row r="168" spans="1:5" ht="15.75" thickBot="1">
      <c r="A168" s="81"/>
      <c r="B168" s="81"/>
      <c r="C168" s="81" t="s">
        <v>548</v>
      </c>
      <c r="D168" s="81" t="s">
        <v>487</v>
      </c>
      <c r="E168" s="81"/>
    </row>
    <row r="169" spans="1:5" ht="35.25" customHeight="1" thickTop="1">
      <c r="A169" s="83" t="s">
        <v>577</v>
      </c>
      <c r="B169" s="83" t="s">
        <v>709</v>
      </c>
      <c r="C169" s="90" t="s">
        <v>710</v>
      </c>
      <c r="D169" s="90" t="s">
        <v>556</v>
      </c>
      <c r="E169" s="91" t="s">
        <v>711</v>
      </c>
    </row>
    <row r="170" spans="1:5" ht="15">
      <c r="A170" s="85"/>
      <c r="B170" s="85"/>
      <c r="C170" s="85" t="s">
        <v>666</v>
      </c>
      <c r="D170" s="85" t="s">
        <v>496</v>
      </c>
      <c r="E170" s="85"/>
    </row>
    <row r="171" spans="1:5" ht="15">
      <c r="A171" s="85"/>
      <c r="B171" s="85"/>
      <c r="C171" s="85" t="s">
        <v>477</v>
      </c>
      <c r="D171" s="85" t="s">
        <v>496</v>
      </c>
      <c r="E171" s="85"/>
    </row>
    <row r="172" spans="1:5" ht="15">
      <c r="A172" s="85"/>
      <c r="B172" s="85"/>
      <c r="C172" s="85" t="s">
        <v>478</v>
      </c>
      <c r="D172" s="85" t="s">
        <v>485</v>
      </c>
      <c r="E172" s="85"/>
    </row>
    <row r="173" spans="1:5" ht="15">
      <c r="A173" s="85"/>
      <c r="B173" s="85"/>
      <c r="C173" s="85" t="s">
        <v>479</v>
      </c>
      <c r="D173" s="85" t="s">
        <v>667</v>
      </c>
      <c r="E173" s="85"/>
    </row>
    <row r="174" spans="1:5" ht="15">
      <c r="A174" s="85"/>
      <c r="B174" s="85"/>
      <c r="C174" s="85" t="s">
        <v>502</v>
      </c>
      <c r="D174" s="85" t="s">
        <v>487</v>
      </c>
      <c r="E174" s="85"/>
    </row>
    <row r="175" spans="1:5" ht="15">
      <c r="A175" s="85"/>
      <c r="B175" s="85"/>
      <c r="C175" s="85" t="s">
        <v>508</v>
      </c>
      <c r="D175" s="85" t="s">
        <v>487</v>
      </c>
      <c r="E175" s="85"/>
    </row>
    <row r="176" spans="1:5" ht="15">
      <c r="A176" s="85"/>
      <c r="B176" s="85"/>
      <c r="C176" s="85" t="s">
        <v>498</v>
      </c>
      <c r="D176" s="85" t="s">
        <v>487</v>
      </c>
      <c r="E176" s="85"/>
    </row>
    <row r="177" spans="1:5" ht="15">
      <c r="A177" s="85"/>
      <c r="B177" s="85"/>
      <c r="C177" s="85" t="s">
        <v>497</v>
      </c>
      <c r="D177" s="85" t="s">
        <v>487</v>
      </c>
      <c r="E177" s="85"/>
    </row>
    <row r="178" spans="1:5" ht="15.75" thickBot="1">
      <c r="A178" s="85"/>
      <c r="B178" s="85"/>
      <c r="C178" s="85" t="s">
        <v>480</v>
      </c>
      <c r="D178" s="85" t="s">
        <v>487</v>
      </c>
      <c r="E178" s="85"/>
    </row>
    <row r="179" spans="1:5" ht="15.75" thickTop="1">
      <c r="A179" s="86" t="s">
        <v>578</v>
      </c>
      <c r="B179" s="86" t="s">
        <v>863</v>
      </c>
      <c r="C179" s="87" t="s">
        <v>712</v>
      </c>
      <c r="D179" s="87" t="s">
        <v>519</v>
      </c>
      <c r="E179" s="93" t="s">
        <v>713</v>
      </c>
    </row>
    <row r="180" spans="1:5" ht="15.75" thickBot="1">
      <c r="A180" s="81"/>
      <c r="B180" s="81"/>
      <c r="C180" s="81" t="s">
        <v>573</v>
      </c>
      <c r="D180" s="81" t="s">
        <v>506</v>
      </c>
      <c r="E180" s="81"/>
    </row>
    <row r="181" spans="1:5" ht="15.75" thickTop="1">
      <c r="A181" s="83" t="s">
        <v>714</v>
      </c>
      <c r="B181" s="83" t="s">
        <v>715</v>
      </c>
      <c r="C181" s="90" t="s">
        <v>691</v>
      </c>
      <c r="D181" s="90" t="s">
        <v>556</v>
      </c>
      <c r="E181" s="91" t="s">
        <v>716</v>
      </c>
    </row>
    <row r="182" spans="1:5" ht="15.75" thickBot="1">
      <c r="A182" s="53"/>
      <c r="B182" s="85"/>
      <c r="C182" s="85" t="s">
        <v>479</v>
      </c>
      <c r="D182" s="85" t="s">
        <v>667</v>
      </c>
      <c r="E182" s="85"/>
    </row>
    <row r="183" spans="1:5" ht="75.75" thickTop="1">
      <c r="A183" s="86" t="s">
        <v>717</v>
      </c>
      <c r="B183" s="86" t="s">
        <v>239</v>
      </c>
      <c r="C183" s="87" t="s">
        <v>489</v>
      </c>
      <c r="D183" s="87" t="s">
        <v>493</v>
      </c>
      <c r="E183" s="93" t="s">
        <v>718</v>
      </c>
    </row>
    <row r="184" spans="1:5" ht="15">
      <c r="A184" s="81"/>
      <c r="B184" s="81"/>
      <c r="C184" s="81" t="s">
        <v>666</v>
      </c>
      <c r="D184" s="81" t="s">
        <v>496</v>
      </c>
      <c r="E184" s="94"/>
    </row>
    <row r="185" spans="1:5" ht="15">
      <c r="A185" s="81"/>
      <c r="B185" s="81"/>
      <c r="C185" s="81" t="s">
        <v>521</v>
      </c>
      <c r="D185" s="81" t="s">
        <v>484</v>
      </c>
      <c r="E185" s="94"/>
    </row>
    <row r="186" spans="1:5" ht="15">
      <c r="A186" s="81"/>
      <c r="B186" s="81"/>
      <c r="C186" s="81" t="s">
        <v>477</v>
      </c>
      <c r="D186" s="81" t="s">
        <v>496</v>
      </c>
      <c r="E186" s="81"/>
    </row>
    <row r="187" spans="1:5" ht="15">
      <c r="A187" s="81"/>
      <c r="B187" s="81"/>
      <c r="C187" s="81" t="s">
        <v>522</v>
      </c>
      <c r="D187" s="81" t="s">
        <v>495</v>
      </c>
      <c r="E187" s="81"/>
    </row>
    <row r="188" spans="1:5" ht="15">
      <c r="A188" s="81"/>
      <c r="B188" s="81"/>
      <c r="C188" s="81" t="s">
        <v>478</v>
      </c>
      <c r="D188" s="81" t="s">
        <v>485</v>
      </c>
      <c r="E188" s="81"/>
    </row>
    <row r="189" spans="1:5" ht="15">
      <c r="A189" s="81"/>
      <c r="B189" s="81"/>
      <c r="C189" s="81" t="s">
        <v>479</v>
      </c>
      <c r="D189" s="81" t="s">
        <v>667</v>
      </c>
      <c r="E189" s="81"/>
    </row>
    <row r="190" spans="1:5" ht="15">
      <c r="A190" s="81"/>
      <c r="B190" s="81"/>
      <c r="C190" s="81" t="s">
        <v>497</v>
      </c>
      <c r="D190" s="81" t="s">
        <v>487</v>
      </c>
      <c r="E190" s="81"/>
    </row>
    <row r="191" spans="1:5" ht="15">
      <c r="A191" s="81"/>
      <c r="B191" s="81"/>
      <c r="C191" s="81" t="s">
        <v>480</v>
      </c>
      <c r="D191" s="81" t="s">
        <v>487</v>
      </c>
      <c r="E191" s="81"/>
    </row>
    <row r="192" spans="1:5" ht="15.75" thickBot="1">
      <c r="A192" s="81"/>
      <c r="B192" s="81"/>
      <c r="C192" s="81" t="s">
        <v>691</v>
      </c>
      <c r="D192" s="81" t="s">
        <v>519</v>
      </c>
      <c r="E192" s="81"/>
    </row>
    <row r="193" spans="1:5" ht="60.75" thickTop="1">
      <c r="A193" s="83" t="s">
        <v>719</v>
      </c>
      <c r="B193" s="83" t="s">
        <v>720</v>
      </c>
      <c r="C193" s="90" t="s">
        <v>721</v>
      </c>
      <c r="D193" s="90" t="s">
        <v>682</v>
      </c>
      <c r="E193" s="91" t="s">
        <v>722</v>
      </c>
    </row>
    <row r="194" spans="1:5" ht="15">
      <c r="A194" s="53"/>
      <c r="B194" s="85"/>
      <c r="C194" s="85" t="s">
        <v>666</v>
      </c>
      <c r="D194" s="85" t="s">
        <v>496</v>
      </c>
      <c r="E194" s="85"/>
    </row>
    <row r="195" spans="1:5" ht="15">
      <c r="A195" s="53"/>
      <c r="B195" s="85"/>
      <c r="C195" s="85" t="s">
        <v>477</v>
      </c>
      <c r="D195" s="85" t="s">
        <v>496</v>
      </c>
      <c r="E195" s="85"/>
    </row>
    <row r="196" spans="1:5" ht="15">
      <c r="A196" s="53"/>
      <c r="B196" s="85"/>
      <c r="C196" s="85" t="s">
        <v>478</v>
      </c>
      <c r="D196" s="85" t="s">
        <v>485</v>
      </c>
      <c r="E196" s="85"/>
    </row>
    <row r="197" spans="1:5" ht="15">
      <c r="A197" s="53"/>
      <c r="B197" s="85"/>
      <c r="C197" s="85" t="s">
        <v>479</v>
      </c>
      <c r="D197" s="85" t="s">
        <v>667</v>
      </c>
      <c r="E197" s="85"/>
    </row>
    <row r="198" spans="1:5" ht="15">
      <c r="A198" s="53"/>
      <c r="B198" s="85"/>
      <c r="C198" s="85" t="s">
        <v>480</v>
      </c>
      <c r="D198" s="85" t="s">
        <v>487</v>
      </c>
      <c r="E198" s="85"/>
    </row>
    <row r="199" spans="1:5" ht="15">
      <c r="B199" s="85"/>
      <c r="C199" s="85" t="s">
        <v>492</v>
      </c>
      <c r="D199" s="85" t="s">
        <v>487</v>
      </c>
      <c r="E199" s="85"/>
    </row>
    <row r="200" spans="1:5" ht="15">
      <c r="B200" s="85"/>
      <c r="C200" s="85" t="s">
        <v>497</v>
      </c>
      <c r="D200" s="85" t="s">
        <v>487</v>
      </c>
      <c r="E200" s="85"/>
    </row>
    <row r="201" spans="1:5" ht="15">
      <c r="B201" s="85"/>
      <c r="C201" s="85" t="s">
        <v>498</v>
      </c>
      <c r="D201" s="85" t="s">
        <v>487</v>
      </c>
      <c r="E201" s="85"/>
    </row>
    <row r="202" spans="1:5" ht="15.75" thickBot="1">
      <c r="B202" s="85"/>
      <c r="C202" s="85" t="s">
        <v>502</v>
      </c>
      <c r="D202" s="85" t="s">
        <v>487</v>
      </c>
      <c r="E202" s="85"/>
    </row>
    <row r="203" spans="1:5" ht="60.75" thickTop="1">
      <c r="A203" s="86" t="s">
        <v>723</v>
      </c>
      <c r="B203" s="86" t="s">
        <v>724</v>
      </c>
      <c r="C203" s="87" t="s">
        <v>725</v>
      </c>
      <c r="D203" s="87" t="s">
        <v>556</v>
      </c>
      <c r="E203" s="93" t="s">
        <v>674</v>
      </c>
    </row>
    <row r="204" spans="1:5" ht="15">
      <c r="A204" s="81"/>
      <c r="B204" s="81"/>
      <c r="C204" s="81" t="s">
        <v>666</v>
      </c>
      <c r="D204" s="81" t="s">
        <v>496</v>
      </c>
      <c r="E204" s="81"/>
    </row>
    <row r="205" spans="1:5" ht="15">
      <c r="A205" s="81"/>
      <c r="B205" s="81"/>
      <c r="C205" s="81" t="s">
        <v>477</v>
      </c>
      <c r="D205" s="81" t="s">
        <v>496</v>
      </c>
      <c r="E205" s="81"/>
    </row>
    <row r="206" spans="1:5" ht="15">
      <c r="A206" s="81"/>
      <c r="B206" s="81"/>
      <c r="C206" s="81" t="s">
        <v>478</v>
      </c>
      <c r="D206" s="81" t="s">
        <v>485</v>
      </c>
      <c r="E206" s="81"/>
    </row>
    <row r="207" spans="1:5" ht="15">
      <c r="A207" s="81"/>
      <c r="B207" s="81"/>
      <c r="C207" s="81" t="s">
        <v>479</v>
      </c>
      <c r="D207" s="81" t="s">
        <v>667</v>
      </c>
      <c r="E207" s="81"/>
    </row>
    <row r="208" spans="1:5" ht="15">
      <c r="A208" s="81"/>
      <c r="B208" s="81"/>
      <c r="C208" s="81" t="s">
        <v>480</v>
      </c>
      <c r="D208" s="81" t="s">
        <v>487</v>
      </c>
      <c r="E208" s="81"/>
    </row>
    <row r="209" spans="1:5" ht="15">
      <c r="A209" s="81"/>
      <c r="B209" s="81"/>
      <c r="C209" s="81" t="s">
        <v>492</v>
      </c>
      <c r="D209" s="81" t="s">
        <v>487</v>
      </c>
      <c r="E209" s="81"/>
    </row>
    <row r="210" spans="1:5" ht="15">
      <c r="A210" s="81"/>
      <c r="B210" s="81"/>
      <c r="C210" s="81" t="s">
        <v>497</v>
      </c>
      <c r="D210" s="81" t="s">
        <v>487</v>
      </c>
      <c r="E210" s="81"/>
    </row>
    <row r="211" spans="1:5" ht="15">
      <c r="A211" s="81"/>
      <c r="B211" s="81"/>
      <c r="C211" s="81" t="s">
        <v>498</v>
      </c>
      <c r="D211" s="81" t="s">
        <v>487</v>
      </c>
      <c r="E211" s="81"/>
    </row>
    <row r="212" spans="1:5" ht="15.75" thickBot="1">
      <c r="A212" s="81"/>
      <c r="B212" s="81"/>
      <c r="C212" s="81" t="s">
        <v>502</v>
      </c>
      <c r="D212" s="81" t="s">
        <v>487</v>
      </c>
      <c r="E212" s="81"/>
    </row>
    <row r="213" spans="1:5" ht="90.75" thickTop="1">
      <c r="A213" s="83" t="s">
        <v>726</v>
      </c>
      <c r="B213" s="83" t="s">
        <v>727</v>
      </c>
      <c r="C213" s="90" t="s">
        <v>575</v>
      </c>
      <c r="D213" s="90" t="s">
        <v>503</v>
      </c>
      <c r="E213" s="91" t="s">
        <v>728</v>
      </c>
    </row>
    <row r="214" spans="1:5" ht="15">
      <c r="B214" s="85"/>
      <c r="C214" s="85" t="s">
        <v>688</v>
      </c>
      <c r="D214" s="85" t="s">
        <v>519</v>
      </c>
      <c r="E214" s="85"/>
    </row>
    <row r="215" spans="1:5" ht="15">
      <c r="B215" s="85"/>
      <c r="C215" s="85" t="s">
        <v>689</v>
      </c>
      <c r="D215" s="85" t="s">
        <v>484</v>
      </c>
      <c r="E215" s="85"/>
    </row>
    <row r="216" spans="1:5" ht="15">
      <c r="B216" s="85"/>
      <c r="C216" s="85" t="s">
        <v>477</v>
      </c>
      <c r="D216" s="85" t="s">
        <v>496</v>
      </c>
      <c r="E216" s="85"/>
    </row>
    <row r="217" spans="1:5" ht="15">
      <c r="B217" s="85"/>
      <c r="C217" s="85" t="s">
        <v>572</v>
      </c>
      <c r="D217" s="85" t="s">
        <v>505</v>
      </c>
      <c r="E217" s="85"/>
    </row>
    <row r="218" spans="1:5" ht="15">
      <c r="B218" s="85"/>
      <c r="C218" s="85" t="s">
        <v>478</v>
      </c>
      <c r="D218" s="85" t="s">
        <v>553</v>
      </c>
      <c r="E218" s="85"/>
    </row>
    <row r="219" spans="1:5" ht="15">
      <c r="B219" s="85"/>
      <c r="C219" s="85" t="s">
        <v>479</v>
      </c>
      <c r="D219" s="85" t="s">
        <v>667</v>
      </c>
      <c r="E219" s="85"/>
    </row>
    <row r="220" spans="1:5" ht="15">
      <c r="B220" s="85"/>
      <c r="C220" s="85" t="s">
        <v>497</v>
      </c>
      <c r="D220" s="85" t="s">
        <v>487</v>
      </c>
      <c r="E220" s="85"/>
    </row>
    <row r="221" spans="1:5" ht="15">
      <c r="B221" s="85"/>
      <c r="C221" s="85" t="s">
        <v>480</v>
      </c>
      <c r="D221" s="85" t="s">
        <v>487</v>
      </c>
      <c r="E221" s="85"/>
    </row>
    <row r="222" spans="1:5" ht="15.75" thickBot="1">
      <c r="B222" s="85"/>
      <c r="C222" s="85" t="s">
        <v>502</v>
      </c>
      <c r="D222" s="85" t="s">
        <v>487</v>
      </c>
      <c r="E222" s="85"/>
    </row>
    <row r="223" spans="1:5" ht="60.75" thickTop="1">
      <c r="A223" s="86" t="s">
        <v>729</v>
      </c>
      <c r="B223" s="86" t="s">
        <v>864</v>
      </c>
      <c r="C223" s="87" t="s">
        <v>730</v>
      </c>
      <c r="D223" s="87" t="s">
        <v>556</v>
      </c>
      <c r="E223" s="93" t="s">
        <v>674</v>
      </c>
    </row>
    <row r="224" spans="1:5" ht="15">
      <c r="A224" s="81"/>
      <c r="B224" s="81"/>
      <c r="C224" s="81" t="s">
        <v>666</v>
      </c>
      <c r="D224" s="81" t="s">
        <v>496</v>
      </c>
      <c r="E224" s="81"/>
    </row>
    <row r="225" spans="1:5" ht="15">
      <c r="A225" s="81"/>
      <c r="B225" s="81"/>
      <c r="C225" s="81" t="s">
        <v>477</v>
      </c>
      <c r="D225" s="81" t="s">
        <v>496</v>
      </c>
      <c r="E225" s="81"/>
    </row>
    <row r="226" spans="1:5" ht="15">
      <c r="A226" s="81"/>
      <c r="B226" s="81"/>
      <c r="C226" s="81" t="s">
        <v>478</v>
      </c>
      <c r="D226" s="81" t="s">
        <v>485</v>
      </c>
      <c r="E226" s="81"/>
    </row>
    <row r="227" spans="1:5" ht="15">
      <c r="A227" s="81"/>
      <c r="B227" s="81"/>
      <c r="C227" s="81" t="s">
        <v>479</v>
      </c>
      <c r="D227" s="81" t="s">
        <v>667</v>
      </c>
      <c r="E227" s="81"/>
    </row>
    <row r="228" spans="1:5" ht="15">
      <c r="A228" s="81"/>
      <c r="B228" s="81"/>
      <c r="C228" s="81" t="s">
        <v>480</v>
      </c>
      <c r="D228" s="81" t="s">
        <v>487</v>
      </c>
      <c r="E228" s="81"/>
    </row>
    <row r="229" spans="1:5" ht="15">
      <c r="A229" s="81"/>
      <c r="B229" s="81"/>
      <c r="C229" s="81" t="s">
        <v>492</v>
      </c>
      <c r="D229" s="81" t="s">
        <v>487</v>
      </c>
      <c r="E229" s="81"/>
    </row>
    <row r="230" spans="1:5" ht="15">
      <c r="A230" s="81"/>
      <c r="B230" s="81"/>
      <c r="C230" s="81" t="s">
        <v>497</v>
      </c>
      <c r="D230" s="81" t="s">
        <v>487</v>
      </c>
      <c r="E230" s="81"/>
    </row>
    <row r="231" spans="1:5" ht="15">
      <c r="A231" s="81"/>
      <c r="B231" s="81"/>
      <c r="C231" s="81" t="s">
        <v>498</v>
      </c>
      <c r="D231" s="81" t="s">
        <v>487</v>
      </c>
      <c r="E231" s="81"/>
    </row>
    <row r="232" spans="1:5" ht="15.75" thickBot="1">
      <c r="A232" s="81"/>
      <c r="B232" s="81"/>
      <c r="C232" s="81" t="s">
        <v>502</v>
      </c>
      <c r="D232" s="81" t="s">
        <v>487</v>
      </c>
      <c r="E232" s="81"/>
    </row>
    <row r="233" spans="1:5" ht="75.75" thickTop="1">
      <c r="A233" s="83" t="s">
        <v>731</v>
      </c>
      <c r="B233" s="83" t="s">
        <v>732</v>
      </c>
      <c r="C233" s="90" t="s">
        <v>514</v>
      </c>
      <c r="D233" s="90" t="s">
        <v>493</v>
      </c>
      <c r="E233" s="91" t="s">
        <v>733</v>
      </c>
    </row>
    <row r="234" spans="1:5" ht="15">
      <c r="A234" s="85"/>
      <c r="B234" s="85"/>
      <c r="C234" s="85" t="s">
        <v>666</v>
      </c>
      <c r="D234" s="85" t="s">
        <v>496</v>
      </c>
      <c r="E234" s="85"/>
    </row>
    <row r="235" spans="1:5" ht="15">
      <c r="A235" s="85"/>
      <c r="B235" s="85"/>
      <c r="C235" s="85" t="s">
        <v>521</v>
      </c>
      <c r="D235" s="85" t="s">
        <v>484</v>
      </c>
      <c r="E235" s="85"/>
    </row>
    <row r="236" spans="1:5" ht="15">
      <c r="A236" s="85"/>
      <c r="B236" s="85"/>
      <c r="C236" s="85" t="s">
        <v>477</v>
      </c>
      <c r="D236" s="85" t="s">
        <v>496</v>
      </c>
      <c r="E236" s="85"/>
    </row>
    <row r="237" spans="1:5" ht="15">
      <c r="A237" s="85"/>
      <c r="B237" s="85"/>
      <c r="C237" s="85" t="s">
        <v>522</v>
      </c>
      <c r="D237" s="85" t="s">
        <v>495</v>
      </c>
      <c r="E237" s="85"/>
    </row>
    <row r="238" spans="1:5" ht="15">
      <c r="A238" s="85"/>
      <c r="B238" s="85"/>
      <c r="C238" s="85" t="s">
        <v>478</v>
      </c>
      <c r="D238" s="85" t="s">
        <v>485</v>
      </c>
      <c r="E238" s="85"/>
    </row>
    <row r="239" spans="1:5" ht="15">
      <c r="A239" s="85"/>
      <c r="B239" s="85"/>
      <c r="C239" s="85" t="s">
        <v>479</v>
      </c>
      <c r="D239" s="85" t="s">
        <v>667</v>
      </c>
      <c r="E239" s="85"/>
    </row>
    <row r="240" spans="1:5" ht="15">
      <c r="A240" s="85"/>
      <c r="B240" s="85"/>
      <c r="C240" s="85" t="s">
        <v>497</v>
      </c>
      <c r="D240" s="85" t="s">
        <v>487</v>
      </c>
      <c r="E240" s="85"/>
    </row>
    <row r="241" spans="1:5" ht="15">
      <c r="A241" s="85"/>
      <c r="B241" s="85"/>
      <c r="C241" s="85" t="s">
        <v>480</v>
      </c>
      <c r="D241" s="85" t="s">
        <v>487</v>
      </c>
      <c r="E241" s="85"/>
    </row>
    <row r="242" spans="1:5" ht="15.75" thickBot="1">
      <c r="A242" s="85"/>
      <c r="B242" s="85"/>
      <c r="C242" s="85" t="s">
        <v>691</v>
      </c>
      <c r="D242" s="85">
        <v>150</v>
      </c>
      <c r="E242" s="85"/>
    </row>
    <row r="243" spans="1:5" ht="75.75" thickTop="1">
      <c r="A243" s="86" t="s">
        <v>734</v>
      </c>
      <c r="B243" s="86" t="s">
        <v>735</v>
      </c>
      <c r="C243" s="86" t="s">
        <v>565</v>
      </c>
      <c r="D243" s="87" t="s">
        <v>504</v>
      </c>
      <c r="E243" s="87" t="s">
        <v>736</v>
      </c>
    </row>
    <row r="244" spans="1:5" ht="15">
      <c r="A244" s="81"/>
      <c r="B244" s="81"/>
      <c r="C244" s="81" t="s">
        <v>520</v>
      </c>
      <c r="D244" s="81" t="s">
        <v>494</v>
      </c>
      <c r="E244" s="81"/>
    </row>
    <row r="245" spans="1:5" ht="15">
      <c r="A245" s="81"/>
      <c r="B245" s="81"/>
      <c r="C245" s="81" t="s">
        <v>364</v>
      </c>
      <c r="D245" s="81" t="s">
        <v>494</v>
      </c>
      <c r="E245" s="81"/>
    </row>
    <row r="246" spans="1:5" ht="15">
      <c r="A246" s="81"/>
      <c r="B246" s="81"/>
      <c r="C246" s="81" t="s">
        <v>666</v>
      </c>
      <c r="D246" s="81" t="s">
        <v>496</v>
      </c>
      <c r="E246" s="81"/>
    </row>
    <row r="247" spans="1:5" ht="15">
      <c r="A247" s="81"/>
      <c r="B247" s="81"/>
      <c r="C247" s="81" t="s">
        <v>477</v>
      </c>
      <c r="D247" s="81" t="s">
        <v>496</v>
      </c>
      <c r="E247" s="81"/>
    </row>
    <row r="248" spans="1:5" ht="15">
      <c r="A248" s="81"/>
      <c r="B248" s="81"/>
      <c r="C248" s="81" t="s">
        <v>478</v>
      </c>
      <c r="D248" s="81" t="s">
        <v>485</v>
      </c>
      <c r="E248" s="81"/>
    </row>
    <row r="249" spans="1:5" ht="15">
      <c r="A249" s="81"/>
      <c r="B249" s="81"/>
      <c r="C249" s="81" t="s">
        <v>737</v>
      </c>
      <c r="D249" s="81" t="s">
        <v>487</v>
      </c>
      <c r="E249" s="81"/>
    </row>
    <row r="250" spans="1:5" ht="15">
      <c r="A250" s="81"/>
      <c r="B250" s="81"/>
      <c r="C250" s="81" t="s">
        <v>479</v>
      </c>
      <c r="D250" s="81" t="s">
        <v>667</v>
      </c>
      <c r="E250" s="81"/>
    </row>
    <row r="251" spans="1:5" ht="15">
      <c r="A251" s="81"/>
      <c r="B251" s="81"/>
      <c r="C251" s="81" t="s">
        <v>502</v>
      </c>
      <c r="D251" s="81" t="s">
        <v>487</v>
      </c>
      <c r="E251" s="81"/>
    </row>
    <row r="252" spans="1:5" ht="15">
      <c r="A252" s="81"/>
      <c r="B252" s="81"/>
      <c r="C252" s="81" t="s">
        <v>498</v>
      </c>
      <c r="D252" s="81" t="s">
        <v>487</v>
      </c>
      <c r="E252" s="81"/>
    </row>
    <row r="253" spans="1:5" ht="15.75" thickBot="1">
      <c r="A253" s="81"/>
      <c r="B253" s="81"/>
      <c r="C253" s="81" t="s">
        <v>514</v>
      </c>
      <c r="D253" s="81" t="s">
        <v>493</v>
      </c>
      <c r="E253" s="81"/>
    </row>
    <row r="254" spans="1:5" ht="75.75" thickTop="1">
      <c r="A254" s="83" t="s">
        <v>738</v>
      </c>
      <c r="B254" s="83" t="s">
        <v>409</v>
      </c>
      <c r="C254" s="90" t="s">
        <v>739</v>
      </c>
      <c r="D254" s="90" t="s">
        <v>570</v>
      </c>
      <c r="E254" s="91" t="s">
        <v>740</v>
      </c>
    </row>
    <row r="255" spans="1:5" ht="15">
      <c r="B255" s="85"/>
      <c r="C255" s="85" t="s">
        <v>514</v>
      </c>
      <c r="D255" s="85" t="s">
        <v>493</v>
      </c>
      <c r="E255" s="85"/>
    </row>
    <row r="256" spans="1:5" ht="15">
      <c r="B256" s="85"/>
      <c r="C256" s="85" t="s">
        <v>666</v>
      </c>
      <c r="D256" s="85" t="s">
        <v>496</v>
      </c>
      <c r="E256" s="85"/>
    </row>
    <row r="257" spans="1:5" ht="15">
      <c r="B257" s="85"/>
      <c r="C257" s="85" t="s">
        <v>477</v>
      </c>
      <c r="D257" s="85" t="s">
        <v>496</v>
      </c>
      <c r="E257" s="85"/>
    </row>
    <row r="258" spans="1:5" ht="15">
      <c r="B258" s="85"/>
      <c r="C258" s="85" t="s">
        <v>478</v>
      </c>
      <c r="D258" s="85" t="s">
        <v>485</v>
      </c>
      <c r="E258" s="85"/>
    </row>
    <row r="259" spans="1:5" ht="15">
      <c r="B259" s="85"/>
      <c r="C259" s="85" t="s">
        <v>479</v>
      </c>
      <c r="D259" s="85" t="s">
        <v>667</v>
      </c>
      <c r="E259" s="85"/>
    </row>
    <row r="260" spans="1:5" ht="15">
      <c r="B260" s="85"/>
      <c r="C260" s="85" t="s">
        <v>497</v>
      </c>
      <c r="D260" s="85" t="s">
        <v>487</v>
      </c>
      <c r="E260" s="85"/>
    </row>
    <row r="261" spans="1:5" ht="15">
      <c r="B261" s="85"/>
      <c r="C261" s="85" t="s">
        <v>492</v>
      </c>
      <c r="D261" s="85" t="s">
        <v>487</v>
      </c>
      <c r="E261" s="85"/>
    </row>
    <row r="262" spans="1:5" ht="15">
      <c r="B262" s="85"/>
      <c r="C262" s="85" t="s">
        <v>480</v>
      </c>
      <c r="D262" s="85" t="s">
        <v>487</v>
      </c>
      <c r="E262" s="85"/>
    </row>
    <row r="263" spans="1:5" ht="15.75" thickBot="1">
      <c r="B263" s="85"/>
      <c r="C263" s="85" t="s">
        <v>502</v>
      </c>
      <c r="D263" s="85" t="s">
        <v>487</v>
      </c>
      <c r="E263" s="85"/>
    </row>
    <row r="264" spans="1:5" ht="75.75" thickTop="1">
      <c r="A264" s="86" t="s">
        <v>741</v>
      </c>
      <c r="B264" s="86" t="s">
        <v>742</v>
      </c>
      <c r="C264" s="87" t="s">
        <v>676</v>
      </c>
      <c r="D264" s="87" t="s">
        <v>556</v>
      </c>
      <c r="E264" s="87" t="s">
        <v>671</v>
      </c>
    </row>
    <row r="265" spans="1:5" ht="15">
      <c r="A265" s="81"/>
      <c r="B265" s="81"/>
      <c r="C265" s="81" t="s">
        <v>666</v>
      </c>
      <c r="D265" s="81" t="s">
        <v>496</v>
      </c>
      <c r="E265" s="81"/>
    </row>
    <row r="266" spans="1:5" ht="15">
      <c r="A266" s="81"/>
      <c r="B266" s="81"/>
      <c r="C266" s="81" t="s">
        <v>477</v>
      </c>
      <c r="D266" s="81" t="s">
        <v>496</v>
      </c>
      <c r="E266" s="81"/>
    </row>
    <row r="267" spans="1:5" ht="15">
      <c r="A267" s="81"/>
      <c r="B267" s="81"/>
      <c r="C267" s="81" t="s">
        <v>478</v>
      </c>
      <c r="D267" s="81" t="s">
        <v>485</v>
      </c>
      <c r="E267" s="81"/>
    </row>
    <row r="268" spans="1:5" ht="15">
      <c r="A268" s="81"/>
      <c r="B268" s="81"/>
      <c r="C268" s="81" t="s">
        <v>479</v>
      </c>
      <c r="D268" s="81" t="s">
        <v>667</v>
      </c>
      <c r="E268" s="81"/>
    </row>
    <row r="269" spans="1:5" ht="15">
      <c r="A269" s="81"/>
      <c r="B269" s="81"/>
      <c r="C269" s="81" t="s">
        <v>502</v>
      </c>
      <c r="D269" s="81" t="s">
        <v>487</v>
      </c>
      <c r="E269" s="81"/>
    </row>
    <row r="270" spans="1:5" ht="15">
      <c r="A270" s="81"/>
      <c r="B270" s="81"/>
      <c r="C270" s="81" t="s">
        <v>508</v>
      </c>
      <c r="D270" s="81" t="s">
        <v>487</v>
      </c>
      <c r="E270" s="81"/>
    </row>
    <row r="271" spans="1:5" ht="15">
      <c r="A271" s="81"/>
      <c r="B271" s="81"/>
      <c r="C271" s="81" t="s">
        <v>498</v>
      </c>
      <c r="D271" s="81" t="s">
        <v>487</v>
      </c>
      <c r="E271" s="81"/>
    </row>
    <row r="272" spans="1:5" ht="15">
      <c r="A272" s="81"/>
      <c r="B272" s="81"/>
      <c r="C272" s="81" t="s">
        <v>497</v>
      </c>
      <c r="D272" s="81" t="s">
        <v>487</v>
      </c>
      <c r="E272" s="81"/>
    </row>
    <row r="273" spans="1:5" ht="15.75" thickBot="1">
      <c r="A273" s="81"/>
      <c r="B273" s="81"/>
      <c r="C273" s="81" t="s">
        <v>480</v>
      </c>
      <c r="D273" s="81" t="s">
        <v>487</v>
      </c>
      <c r="E273" s="81"/>
    </row>
    <row r="274" spans="1:5" ht="105.75" thickTop="1">
      <c r="A274" s="83" t="s">
        <v>743</v>
      </c>
      <c r="B274" s="83" t="s">
        <v>744</v>
      </c>
      <c r="C274" s="90" t="s">
        <v>691</v>
      </c>
      <c r="D274" s="90" t="s">
        <v>519</v>
      </c>
      <c r="E274" s="91" t="s">
        <v>745</v>
      </c>
    </row>
    <row r="275" spans="1:5" ht="15">
      <c r="C275" s="85" t="s">
        <v>689</v>
      </c>
      <c r="D275" s="85" t="s">
        <v>484</v>
      </c>
      <c r="E275" s="95"/>
    </row>
    <row r="276" spans="1:5" ht="15">
      <c r="C276" s="85" t="s">
        <v>520</v>
      </c>
      <c r="D276" s="85" t="s">
        <v>494</v>
      </c>
      <c r="E276" s="95"/>
    </row>
    <row r="277" spans="1:5" ht="15">
      <c r="C277" s="85" t="s">
        <v>364</v>
      </c>
      <c r="D277" s="85" t="s">
        <v>482</v>
      </c>
    </row>
    <row r="278" spans="1:5" ht="15">
      <c r="C278" s="85" t="s">
        <v>521</v>
      </c>
      <c r="D278" s="85" t="s">
        <v>484</v>
      </c>
    </row>
    <row r="279" spans="1:5" ht="15">
      <c r="C279" s="85" t="s">
        <v>477</v>
      </c>
      <c r="D279" s="85" t="s">
        <v>496</v>
      </c>
    </row>
    <row r="280" spans="1:5" ht="15">
      <c r="C280" s="85" t="s">
        <v>746</v>
      </c>
      <c r="D280" s="85" t="s">
        <v>495</v>
      </c>
    </row>
    <row r="281" spans="1:5" ht="15">
      <c r="C281" s="85" t="s">
        <v>478</v>
      </c>
      <c r="D281" s="85" t="s">
        <v>485</v>
      </c>
    </row>
    <row r="282" spans="1:5" ht="15">
      <c r="C282" s="85" t="s">
        <v>479</v>
      </c>
      <c r="D282" s="85" t="s">
        <v>667</v>
      </c>
    </row>
    <row r="283" spans="1:5" ht="15.75" thickBot="1">
      <c r="C283" s="85" t="s">
        <v>539</v>
      </c>
      <c r="D283" s="85" t="s">
        <v>487</v>
      </c>
    </row>
    <row r="284" spans="1:5" ht="31.5" thickTop="1" thickBot="1">
      <c r="A284" s="86" t="s">
        <v>747</v>
      </c>
      <c r="B284" s="86" t="s">
        <v>748</v>
      </c>
      <c r="C284" s="87" t="s">
        <v>749</v>
      </c>
      <c r="D284" s="87" t="s">
        <v>519</v>
      </c>
      <c r="E284" s="87" t="s">
        <v>750</v>
      </c>
    </row>
    <row r="285" spans="1:5" ht="90.75" thickTop="1">
      <c r="A285" s="83" t="s">
        <v>751</v>
      </c>
      <c r="B285" s="83" t="s">
        <v>752</v>
      </c>
      <c r="C285" s="90" t="s">
        <v>688</v>
      </c>
      <c r="D285" s="90" t="s">
        <v>579</v>
      </c>
      <c r="E285" s="91" t="s">
        <v>753</v>
      </c>
    </row>
    <row r="286" spans="1:5" ht="15">
      <c r="B286" s="92"/>
      <c r="C286" s="85" t="s">
        <v>364</v>
      </c>
      <c r="D286" s="85" t="s">
        <v>482</v>
      </c>
      <c r="E286" s="85"/>
    </row>
    <row r="287" spans="1:5" ht="15">
      <c r="C287" s="85" t="s">
        <v>575</v>
      </c>
      <c r="D287" s="85" t="s">
        <v>503</v>
      </c>
      <c r="E287" s="85"/>
    </row>
    <row r="288" spans="1:5" ht="15">
      <c r="C288" s="85" t="s">
        <v>754</v>
      </c>
      <c r="D288" s="85" t="s">
        <v>487</v>
      </c>
      <c r="E288" s="85"/>
    </row>
    <row r="289" spans="1:5" ht="15">
      <c r="C289" s="85" t="s">
        <v>479</v>
      </c>
      <c r="D289" s="85" t="s">
        <v>667</v>
      </c>
      <c r="E289" s="85"/>
    </row>
    <row r="290" spans="1:5" ht="15.75" thickBot="1">
      <c r="C290" s="85" t="s">
        <v>755</v>
      </c>
      <c r="D290" s="85" t="s">
        <v>487</v>
      </c>
      <c r="E290" s="85"/>
    </row>
    <row r="291" spans="1:5" ht="31.5" thickTop="1" thickBot="1">
      <c r="A291" s="86" t="s">
        <v>756</v>
      </c>
      <c r="B291" s="86" t="s">
        <v>757</v>
      </c>
      <c r="C291" s="87" t="s">
        <v>758</v>
      </c>
      <c r="D291" s="87" t="s">
        <v>519</v>
      </c>
      <c r="E291" s="87" t="s">
        <v>759</v>
      </c>
    </row>
    <row r="292" spans="1:5" ht="30.75" thickTop="1">
      <c r="A292" s="83" t="s">
        <v>760</v>
      </c>
      <c r="B292" s="83" t="s">
        <v>761</v>
      </c>
      <c r="C292" s="90" t="s">
        <v>367</v>
      </c>
      <c r="D292" s="90" t="s">
        <v>682</v>
      </c>
      <c r="E292" s="91" t="s">
        <v>762</v>
      </c>
    </row>
    <row r="293" spans="1:5" ht="15">
      <c r="B293" s="85"/>
      <c r="C293" s="85" t="s">
        <v>763</v>
      </c>
      <c r="D293" s="85" t="s">
        <v>487</v>
      </c>
      <c r="E293" s="85"/>
    </row>
    <row r="294" spans="1:5" ht="15">
      <c r="B294" s="85"/>
      <c r="C294" s="85" t="s">
        <v>479</v>
      </c>
      <c r="D294" s="85" t="s">
        <v>667</v>
      </c>
      <c r="E294" s="85"/>
    </row>
    <row r="295" spans="1:5" ht="15">
      <c r="B295" s="85"/>
      <c r="C295" s="85" t="s">
        <v>492</v>
      </c>
      <c r="D295" s="85" t="s">
        <v>487</v>
      </c>
      <c r="E295" s="85"/>
    </row>
    <row r="296" spans="1:5" ht="15">
      <c r="B296" s="85"/>
      <c r="C296" s="85" t="s">
        <v>480</v>
      </c>
      <c r="D296" s="85" t="s">
        <v>487</v>
      </c>
      <c r="E296" s="85"/>
    </row>
    <row r="297" spans="1:5" ht="15.75" thickBot="1">
      <c r="B297" s="85"/>
      <c r="C297" s="85" t="s">
        <v>573</v>
      </c>
      <c r="D297" s="85" t="s">
        <v>496</v>
      </c>
      <c r="E297" s="85"/>
    </row>
    <row r="298" spans="1:5" ht="60.75" thickTop="1">
      <c r="A298" s="86" t="s">
        <v>764</v>
      </c>
      <c r="B298" s="86" t="s">
        <v>765</v>
      </c>
      <c r="C298" s="87" t="s">
        <v>725</v>
      </c>
      <c r="D298" s="87">
        <v>170</v>
      </c>
      <c r="E298" s="87" t="s">
        <v>766</v>
      </c>
    </row>
    <row r="299" spans="1:5" ht="15">
      <c r="A299" s="81"/>
      <c r="B299" s="81"/>
      <c r="C299" s="81" t="s">
        <v>364</v>
      </c>
      <c r="D299" s="81">
        <v>40</v>
      </c>
      <c r="E299" s="81"/>
    </row>
    <row r="300" spans="1:5" ht="15">
      <c r="A300" s="81"/>
      <c r="B300" s="81"/>
      <c r="C300" s="81" t="s">
        <v>477</v>
      </c>
      <c r="D300" s="81">
        <v>10</v>
      </c>
      <c r="E300" s="81"/>
    </row>
    <row r="301" spans="1:5" ht="15">
      <c r="A301" s="81"/>
      <c r="B301" s="81"/>
      <c r="C301" s="81" t="s">
        <v>478</v>
      </c>
      <c r="D301" s="81">
        <v>3</v>
      </c>
      <c r="E301" s="81"/>
    </row>
    <row r="302" spans="1:5" ht="15">
      <c r="A302" s="81"/>
      <c r="B302" s="81"/>
      <c r="C302" s="81" t="s">
        <v>479</v>
      </c>
      <c r="D302" s="81">
        <v>0.1</v>
      </c>
      <c r="E302" s="81"/>
    </row>
    <row r="303" spans="1:5" ht="15">
      <c r="A303" s="81"/>
      <c r="B303" s="81"/>
      <c r="C303" s="81" t="s">
        <v>497</v>
      </c>
      <c r="D303" s="81" t="s">
        <v>487</v>
      </c>
      <c r="E303" s="81"/>
    </row>
    <row r="304" spans="1:5" ht="15">
      <c r="A304" s="81"/>
      <c r="B304" s="81"/>
      <c r="C304" s="81" t="s">
        <v>492</v>
      </c>
      <c r="D304" s="81" t="s">
        <v>487</v>
      </c>
      <c r="E304" s="81"/>
    </row>
    <row r="305" spans="1:5" ht="15">
      <c r="A305" s="81"/>
      <c r="B305" s="81"/>
      <c r="C305" s="81" t="s">
        <v>498</v>
      </c>
      <c r="D305" s="81" t="s">
        <v>487</v>
      </c>
      <c r="E305" s="81"/>
    </row>
    <row r="306" spans="1:5" ht="15">
      <c r="A306" s="81"/>
      <c r="B306" s="81"/>
      <c r="C306" s="81" t="s">
        <v>502</v>
      </c>
      <c r="D306" s="81" t="s">
        <v>487</v>
      </c>
      <c r="E306" s="81"/>
    </row>
    <row r="307" spans="1:5" ht="15">
      <c r="A307" s="81"/>
      <c r="B307" s="81"/>
      <c r="C307" s="81" t="s">
        <v>543</v>
      </c>
      <c r="D307" s="81" t="s">
        <v>487</v>
      </c>
      <c r="E307" s="81"/>
    </row>
    <row r="308" spans="1:5" ht="15">
      <c r="A308" s="81"/>
      <c r="B308" s="81"/>
      <c r="C308" s="81" t="s">
        <v>480</v>
      </c>
      <c r="D308" s="81" t="s">
        <v>487</v>
      </c>
      <c r="E308" s="81"/>
    </row>
    <row r="309" spans="1:5" ht="15">
      <c r="A309" s="81"/>
      <c r="B309" s="81"/>
      <c r="C309" s="81" t="s">
        <v>548</v>
      </c>
      <c r="D309" s="81" t="s">
        <v>487</v>
      </c>
      <c r="E309" s="81"/>
    </row>
  </sheetData>
  <mergeCells count="2">
    <mergeCell ref="A5:E5"/>
    <mergeCell ref="E7:E14"/>
  </mergeCells>
  <phoneticPr fontId="9" type="noConversion"/>
  <pageMargins left="0.74803149606299213" right="0.74803149606299213" top="0" bottom="0" header="0" footer="0"/>
  <pageSetup scale="74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366"/>
  <sheetViews>
    <sheetView topLeftCell="A60" zoomScale="110" zoomScaleNormal="110" workbookViewId="0">
      <selection activeCell="A89" sqref="A89"/>
    </sheetView>
  </sheetViews>
  <sheetFormatPr defaultRowHeight="12.75"/>
  <cols>
    <col min="1" max="1" width="13.85546875" customWidth="1"/>
    <col min="2" max="2" width="21.42578125" customWidth="1"/>
    <col min="3" max="3" width="24.85546875" customWidth="1"/>
    <col min="4" max="4" width="29.28515625" customWidth="1"/>
    <col min="5" max="5" width="68" customWidth="1"/>
  </cols>
  <sheetData>
    <row r="6" spans="1:5" ht="18">
      <c r="A6" s="169" t="s">
        <v>323</v>
      </c>
      <c r="B6" s="169"/>
      <c r="C6" s="169"/>
      <c r="D6" s="169"/>
      <c r="E6" s="169"/>
    </row>
    <row r="7" spans="1:5" ht="13.5" thickBot="1"/>
    <row r="8" spans="1:5" ht="66.75" customHeight="1" thickTop="1" thickBot="1">
      <c r="A8" s="101" t="s">
        <v>318</v>
      </c>
      <c r="B8" s="101" t="s">
        <v>319</v>
      </c>
      <c r="C8" s="101" t="s">
        <v>316</v>
      </c>
      <c r="D8" s="101" t="s">
        <v>317</v>
      </c>
      <c r="E8" s="101" t="s">
        <v>320</v>
      </c>
    </row>
    <row r="9" spans="1:5" ht="15.75" thickTop="1">
      <c r="A9" s="102" t="s">
        <v>265</v>
      </c>
      <c r="B9" s="102" t="s">
        <v>266</v>
      </c>
      <c r="C9" s="79" t="s">
        <v>299</v>
      </c>
      <c r="D9" s="79" t="s">
        <v>482</v>
      </c>
      <c r="E9" s="170" t="s">
        <v>581</v>
      </c>
    </row>
    <row r="10" spans="1:5" ht="15">
      <c r="A10" s="103"/>
      <c r="B10" s="103"/>
      <c r="C10" s="81" t="s">
        <v>500</v>
      </c>
      <c r="D10" s="81" t="s">
        <v>526</v>
      </c>
      <c r="E10" s="171"/>
    </row>
    <row r="11" spans="1:5" ht="15">
      <c r="A11" s="103"/>
      <c r="B11" s="104"/>
      <c r="C11" s="81" t="s">
        <v>580</v>
      </c>
      <c r="D11" s="81" t="s">
        <v>526</v>
      </c>
      <c r="E11" s="171"/>
    </row>
    <row r="12" spans="1:5" ht="15">
      <c r="A12" s="103"/>
      <c r="B12" s="104"/>
      <c r="C12" s="81" t="s">
        <v>364</v>
      </c>
      <c r="D12" s="81" t="s">
        <v>526</v>
      </c>
      <c r="E12" s="171"/>
    </row>
    <row r="13" spans="1:5" ht="15">
      <c r="A13" s="103"/>
      <c r="B13" s="104"/>
      <c r="C13" s="81" t="s">
        <v>477</v>
      </c>
      <c r="D13" s="81" t="s">
        <v>495</v>
      </c>
      <c r="E13" s="171"/>
    </row>
    <row r="14" spans="1:5" ht="15">
      <c r="A14" s="103"/>
      <c r="B14" s="104"/>
      <c r="C14" s="81" t="s">
        <v>478</v>
      </c>
      <c r="D14" s="81" t="s">
        <v>485</v>
      </c>
      <c r="E14" s="171"/>
    </row>
    <row r="15" spans="1:5" ht="15">
      <c r="A15" s="103"/>
      <c r="B15" s="104"/>
      <c r="C15" s="81" t="s">
        <v>479</v>
      </c>
      <c r="D15" s="81" t="s">
        <v>486</v>
      </c>
      <c r="E15" s="171"/>
    </row>
    <row r="16" spans="1:5" ht="15.75" thickBot="1">
      <c r="A16" s="103"/>
      <c r="B16" s="104"/>
      <c r="C16" s="81" t="s">
        <v>480</v>
      </c>
      <c r="D16" s="81" t="s">
        <v>487</v>
      </c>
      <c r="E16" s="171"/>
    </row>
    <row r="17" spans="1:5" ht="39.75" customHeight="1" thickTop="1">
      <c r="A17" s="105" t="s">
        <v>267</v>
      </c>
      <c r="B17" s="105" t="s">
        <v>306</v>
      </c>
      <c r="C17" s="106" t="s">
        <v>575</v>
      </c>
      <c r="D17" s="106" t="s">
        <v>525</v>
      </c>
      <c r="E17" s="174" t="s">
        <v>583</v>
      </c>
    </row>
    <row r="18" spans="1:5" ht="15">
      <c r="A18" s="107"/>
      <c r="B18" s="107"/>
      <c r="C18" s="85" t="s">
        <v>299</v>
      </c>
      <c r="D18" s="85" t="s">
        <v>482</v>
      </c>
      <c r="E18" s="173"/>
    </row>
    <row r="19" spans="1:5" ht="15">
      <c r="A19" s="107"/>
      <c r="B19" s="107"/>
      <c r="C19" s="85" t="s">
        <v>520</v>
      </c>
      <c r="D19" s="85" t="s">
        <v>483</v>
      </c>
      <c r="E19" s="173"/>
    </row>
    <row r="20" spans="1:5" ht="15">
      <c r="A20" s="107"/>
      <c r="B20" s="108"/>
      <c r="C20" s="85" t="s">
        <v>364</v>
      </c>
      <c r="D20" s="85" t="s">
        <v>526</v>
      </c>
      <c r="E20" s="173"/>
    </row>
    <row r="21" spans="1:5" ht="15">
      <c r="A21" s="107"/>
      <c r="B21" s="108"/>
      <c r="C21" s="85" t="s">
        <v>477</v>
      </c>
      <c r="D21" s="85" t="s">
        <v>495</v>
      </c>
      <c r="E21" s="173"/>
    </row>
    <row r="22" spans="1:5" ht="15">
      <c r="A22" s="107"/>
      <c r="B22" s="108"/>
      <c r="C22" s="85" t="s">
        <v>582</v>
      </c>
      <c r="D22" s="85" t="s">
        <v>495</v>
      </c>
      <c r="E22" s="173"/>
    </row>
    <row r="23" spans="1:5" ht="15">
      <c r="A23" s="107"/>
      <c r="B23" s="108"/>
      <c r="C23" s="85" t="s">
        <v>478</v>
      </c>
      <c r="D23" s="85" t="s">
        <v>485</v>
      </c>
      <c r="E23" s="173"/>
    </row>
    <row r="24" spans="1:5" ht="15">
      <c r="A24" s="107"/>
      <c r="B24" s="108"/>
      <c r="C24" s="85" t="s">
        <v>479</v>
      </c>
      <c r="D24" s="85" t="s">
        <v>486</v>
      </c>
      <c r="E24" s="173"/>
    </row>
    <row r="25" spans="1:5" ht="15.75" thickBot="1">
      <c r="A25" s="109"/>
      <c r="B25" s="110"/>
      <c r="C25" s="111" t="s">
        <v>480</v>
      </c>
      <c r="D25" s="111" t="s">
        <v>487</v>
      </c>
      <c r="E25" s="175"/>
    </row>
    <row r="26" spans="1:5" ht="15.75" thickTop="1">
      <c r="A26" s="102" t="s">
        <v>268</v>
      </c>
      <c r="B26" s="102" t="s">
        <v>356</v>
      </c>
      <c r="C26" s="79" t="s">
        <v>580</v>
      </c>
      <c r="D26" s="79" t="s">
        <v>482</v>
      </c>
      <c r="E26" s="170" t="s">
        <v>585</v>
      </c>
    </row>
    <row r="27" spans="1:5" ht="15">
      <c r="A27" s="103"/>
      <c r="B27" s="103"/>
      <c r="C27" s="81" t="s">
        <v>584</v>
      </c>
      <c r="D27" s="81" t="s">
        <v>482</v>
      </c>
      <c r="E27" s="171"/>
    </row>
    <row r="28" spans="1:5" ht="15">
      <c r="A28" s="103"/>
      <c r="B28" s="103"/>
      <c r="C28" s="81" t="s">
        <v>520</v>
      </c>
      <c r="D28" s="81" t="s">
        <v>483</v>
      </c>
      <c r="E28" s="171"/>
    </row>
    <row r="29" spans="1:5" ht="15">
      <c r="A29" s="103"/>
      <c r="B29" s="81"/>
      <c r="C29" s="81" t="s">
        <v>500</v>
      </c>
      <c r="D29" s="81" t="s">
        <v>526</v>
      </c>
      <c r="E29" s="171"/>
    </row>
    <row r="30" spans="1:5" ht="15">
      <c r="A30" s="103"/>
      <c r="B30" s="104"/>
      <c r="C30" s="81" t="s">
        <v>364</v>
      </c>
      <c r="D30" s="81" t="s">
        <v>526</v>
      </c>
      <c r="E30" s="171"/>
    </row>
    <row r="31" spans="1:5" ht="15">
      <c r="A31" s="103"/>
      <c r="B31" s="104"/>
      <c r="C31" s="81" t="s">
        <v>477</v>
      </c>
      <c r="D31" s="81" t="s">
        <v>495</v>
      </c>
      <c r="E31" s="171"/>
    </row>
    <row r="32" spans="1:5" ht="15">
      <c r="A32" s="103"/>
      <c r="B32" s="104"/>
      <c r="C32" s="81" t="s">
        <v>582</v>
      </c>
      <c r="D32" s="81" t="s">
        <v>495</v>
      </c>
      <c r="E32" s="171"/>
    </row>
    <row r="33" spans="1:5" ht="15">
      <c r="A33" s="103"/>
      <c r="B33" s="104"/>
      <c r="C33" s="81" t="s">
        <v>478</v>
      </c>
      <c r="D33" s="81" t="s">
        <v>485</v>
      </c>
      <c r="E33" s="171"/>
    </row>
    <row r="34" spans="1:5" ht="15">
      <c r="A34" s="103"/>
      <c r="B34" s="104"/>
      <c r="C34" s="81" t="s">
        <v>479</v>
      </c>
      <c r="D34" s="81" t="s">
        <v>486</v>
      </c>
      <c r="E34" s="171"/>
    </row>
    <row r="35" spans="1:5" ht="15.75" thickBot="1">
      <c r="A35" s="103"/>
      <c r="B35" s="104"/>
      <c r="C35" s="81" t="s">
        <v>480</v>
      </c>
      <c r="D35" s="81" t="s">
        <v>487</v>
      </c>
      <c r="E35" s="171"/>
    </row>
    <row r="36" spans="1:5" ht="15.75" thickTop="1">
      <c r="A36" s="112" t="s">
        <v>269</v>
      </c>
      <c r="B36" s="112" t="s">
        <v>303</v>
      </c>
      <c r="C36" s="113" t="s">
        <v>500</v>
      </c>
      <c r="D36" s="113" t="s">
        <v>525</v>
      </c>
      <c r="E36" s="172" t="s">
        <v>586</v>
      </c>
    </row>
    <row r="37" spans="1:5" ht="15">
      <c r="A37" s="107"/>
      <c r="B37" s="107"/>
      <c r="C37" s="85" t="s">
        <v>584</v>
      </c>
      <c r="D37" s="85" t="s">
        <v>482</v>
      </c>
      <c r="E37" s="173"/>
    </row>
    <row r="38" spans="1:5" ht="15">
      <c r="A38" s="107"/>
      <c r="B38" s="114"/>
      <c r="C38" s="85" t="s">
        <v>520</v>
      </c>
      <c r="D38" s="85" t="s">
        <v>483</v>
      </c>
      <c r="E38" s="173"/>
    </row>
    <row r="39" spans="1:5" ht="15">
      <c r="A39" s="107"/>
      <c r="B39" s="107"/>
      <c r="C39" s="85" t="s">
        <v>364</v>
      </c>
      <c r="D39" s="85" t="s">
        <v>526</v>
      </c>
      <c r="E39" s="173"/>
    </row>
    <row r="40" spans="1:5" ht="15">
      <c r="A40" s="107"/>
      <c r="B40" s="108"/>
      <c r="C40" s="85" t="s">
        <v>477</v>
      </c>
      <c r="D40" s="85" t="s">
        <v>495</v>
      </c>
      <c r="E40" s="173"/>
    </row>
    <row r="41" spans="1:5" ht="15">
      <c r="A41" s="107"/>
      <c r="B41" s="108"/>
      <c r="C41" s="85" t="s">
        <v>582</v>
      </c>
      <c r="D41" s="85" t="s">
        <v>495</v>
      </c>
      <c r="E41" s="173"/>
    </row>
    <row r="42" spans="1:5" ht="15">
      <c r="A42" s="107"/>
      <c r="B42" s="108"/>
      <c r="C42" s="85" t="s">
        <v>478</v>
      </c>
      <c r="D42" s="85" t="s">
        <v>485</v>
      </c>
      <c r="E42" s="173"/>
    </row>
    <row r="43" spans="1:5" ht="15">
      <c r="A43" s="107"/>
      <c r="B43" s="108"/>
      <c r="C43" s="85" t="s">
        <v>479</v>
      </c>
      <c r="D43" s="85" t="s">
        <v>486</v>
      </c>
      <c r="E43" s="173"/>
    </row>
    <row r="44" spans="1:5" ht="15.75" thickBot="1">
      <c r="A44" s="107"/>
      <c r="B44" s="108"/>
      <c r="C44" s="85" t="s">
        <v>480</v>
      </c>
      <c r="D44" s="85" t="s">
        <v>487</v>
      </c>
      <c r="E44" s="173"/>
    </row>
    <row r="45" spans="1:5" ht="15.75" thickTop="1">
      <c r="A45" s="102" t="s">
        <v>270</v>
      </c>
      <c r="B45" s="102" t="s">
        <v>313</v>
      </c>
      <c r="C45" s="79" t="s">
        <v>500</v>
      </c>
      <c r="D45" s="79" t="s">
        <v>525</v>
      </c>
      <c r="E45" s="170" t="s">
        <v>587</v>
      </c>
    </row>
    <row r="46" spans="1:5" ht="15">
      <c r="A46" s="103"/>
      <c r="B46" s="103"/>
      <c r="C46" s="81" t="s">
        <v>327</v>
      </c>
      <c r="D46" s="81" t="s">
        <v>482</v>
      </c>
      <c r="E46" s="171"/>
    </row>
    <row r="47" spans="1:5" ht="15">
      <c r="A47" s="103"/>
      <c r="B47" s="81"/>
      <c r="C47" s="81" t="s">
        <v>532</v>
      </c>
      <c r="D47" s="81" t="s">
        <v>482</v>
      </c>
      <c r="E47" s="171"/>
    </row>
    <row r="48" spans="1:5" ht="15">
      <c r="A48" s="103"/>
      <c r="B48" s="104"/>
      <c r="C48" s="81" t="s">
        <v>477</v>
      </c>
      <c r="D48" s="81" t="s">
        <v>495</v>
      </c>
      <c r="E48" s="171"/>
    </row>
    <row r="49" spans="1:5" ht="15">
      <c r="A49" s="103"/>
      <c r="B49" s="104"/>
      <c r="C49" s="81" t="s">
        <v>478</v>
      </c>
      <c r="D49" s="81" t="s">
        <v>485</v>
      </c>
      <c r="E49" s="171"/>
    </row>
    <row r="50" spans="1:5" ht="15">
      <c r="A50" s="103"/>
      <c r="B50" s="104"/>
      <c r="C50" s="81" t="s">
        <v>479</v>
      </c>
      <c r="D50" s="81" t="s">
        <v>486</v>
      </c>
      <c r="E50" s="171"/>
    </row>
    <row r="51" spans="1:5" ht="15.75" thickBot="1">
      <c r="A51" s="103"/>
      <c r="B51" s="104"/>
      <c r="C51" s="81" t="s">
        <v>480</v>
      </c>
      <c r="D51" s="81" t="s">
        <v>487</v>
      </c>
      <c r="E51" s="171"/>
    </row>
    <row r="52" spans="1:5" ht="15.75" thickTop="1">
      <c r="A52" s="112" t="s">
        <v>271</v>
      </c>
      <c r="B52" s="112" t="s">
        <v>357</v>
      </c>
      <c r="C52" s="113" t="s">
        <v>500</v>
      </c>
      <c r="D52" s="113" t="s">
        <v>525</v>
      </c>
      <c r="E52" s="172" t="s">
        <v>589</v>
      </c>
    </row>
    <row r="53" spans="1:5" ht="15">
      <c r="A53" s="107"/>
      <c r="B53" s="107"/>
      <c r="C53" s="85" t="s">
        <v>588</v>
      </c>
      <c r="D53" s="85" t="s">
        <v>482</v>
      </c>
      <c r="E53" s="173"/>
    </row>
    <row r="54" spans="1:5" ht="15">
      <c r="A54" s="107"/>
      <c r="B54" s="85"/>
      <c r="C54" s="85" t="s">
        <v>327</v>
      </c>
      <c r="D54" s="85" t="s">
        <v>482</v>
      </c>
      <c r="E54" s="173"/>
    </row>
    <row r="55" spans="1:5" ht="15">
      <c r="A55" s="107"/>
      <c r="B55" s="108"/>
      <c r="C55" s="85" t="s">
        <v>364</v>
      </c>
      <c r="D55" s="85" t="s">
        <v>526</v>
      </c>
      <c r="E55" s="173"/>
    </row>
    <row r="56" spans="1:5" ht="15">
      <c r="A56" s="107"/>
      <c r="B56" s="108"/>
      <c r="C56" s="85" t="s">
        <v>477</v>
      </c>
      <c r="D56" s="85" t="s">
        <v>495</v>
      </c>
      <c r="E56" s="173"/>
    </row>
    <row r="57" spans="1:5" ht="15">
      <c r="A57" s="107"/>
      <c r="B57" s="108"/>
      <c r="C57" s="85" t="s">
        <v>478</v>
      </c>
      <c r="D57" s="85" t="s">
        <v>485</v>
      </c>
      <c r="E57" s="173"/>
    </row>
    <row r="58" spans="1:5" ht="15">
      <c r="A58" s="107"/>
      <c r="B58" s="108"/>
      <c r="C58" s="85" t="s">
        <v>479</v>
      </c>
      <c r="D58" s="85" t="s">
        <v>486</v>
      </c>
      <c r="E58" s="173"/>
    </row>
    <row r="59" spans="1:5" ht="15.75" thickBot="1">
      <c r="A59" s="107"/>
      <c r="B59" s="108"/>
      <c r="C59" s="85" t="s">
        <v>480</v>
      </c>
      <c r="D59" s="85" t="s">
        <v>487</v>
      </c>
      <c r="E59" s="173"/>
    </row>
    <row r="60" spans="1:5" ht="15.75" thickTop="1">
      <c r="A60" s="102" t="s">
        <v>272</v>
      </c>
      <c r="B60" s="102" t="s">
        <v>304</v>
      </c>
      <c r="C60" s="79" t="s">
        <v>500</v>
      </c>
      <c r="D60" s="79" t="s">
        <v>525</v>
      </c>
      <c r="E60" s="170" t="s">
        <v>591</v>
      </c>
    </row>
    <row r="61" spans="1:5" ht="15">
      <c r="A61" s="103"/>
      <c r="B61" s="104"/>
      <c r="C61" s="81" t="s">
        <v>590</v>
      </c>
      <c r="D61" s="81" t="s">
        <v>482</v>
      </c>
      <c r="E61" s="171"/>
    </row>
    <row r="62" spans="1:5" ht="15">
      <c r="A62" s="103"/>
      <c r="B62" s="81"/>
      <c r="C62" s="81" t="s">
        <v>401</v>
      </c>
      <c r="D62" s="81" t="s">
        <v>482</v>
      </c>
      <c r="E62" s="171"/>
    </row>
    <row r="63" spans="1:5" ht="15">
      <c r="A63" s="103"/>
      <c r="B63" s="104"/>
      <c r="C63" s="81" t="s">
        <v>364</v>
      </c>
      <c r="D63" s="81" t="s">
        <v>526</v>
      </c>
      <c r="E63" s="171"/>
    </row>
    <row r="64" spans="1:5" ht="15">
      <c r="A64" s="103"/>
      <c r="B64" s="104"/>
      <c r="C64" s="81" t="s">
        <v>477</v>
      </c>
      <c r="D64" s="81" t="s">
        <v>495</v>
      </c>
      <c r="E64" s="171"/>
    </row>
    <row r="65" spans="1:5" ht="15">
      <c r="A65" s="103"/>
      <c r="B65" s="104"/>
      <c r="C65" s="81" t="s">
        <v>582</v>
      </c>
      <c r="D65" s="81" t="s">
        <v>495</v>
      </c>
      <c r="E65" s="171"/>
    </row>
    <row r="66" spans="1:5" ht="15">
      <c r="A66" s="103"/>
      <c r="B66" s="104"/>
      <c r="C66" s="81" t="s">
        <v>478</v>
      </c>
      <c r="D66" s="81" t="s">
        <v>485</v>
      </c>
      <c r="E66" s="171"/>
    </row>
    <row r="67" spans="1:5" ht="15">
      <c r="A67" s="103"/>
      <c r="B67" s="104"/>
      <c r="C67" s="81" t="s">
        <v>479</v>
      </c>
      <c r="D67" s="81" t="s">
        <v>486</v>
      </c>
      <c r="E67" s="171"/>
    </row>
    <row r="68" spans="1:5" ht="15.75" thickBot="1">
      <c r="A68" s="103"/>
      <c r="B68" s="104"/>
      <c r="C68" s="81" t="s">
        <v>480</v>
      </c>
      <c r="D68" s="81" t="s">
        <v>487</v>
      </c>
      <c r="E68" s="171"/>
    </row>
    <row r="69" spans="1:5" ht="15.75" thickTop="1">
      <c r="A69" s="112" t="s">
        <v>273</v>
      </c>
      <c r="B69" s="112" t="s">
        <v>358</v>
      </c>
      <c r="C69" s="113" t="s">
        <v>500</v>
      </c>
      <c r="D69" s="113" t="s">
        <v>525</v>
      </c>
      <c r="E69" s="172" t="s">
        <v>594</v>
      </c>
    </row>
    <row r="70" spans="1:5" ht="15">
      <c r="A70" s="107"/>
      <c r="B70" s="107"/>
      <c r="C70" s="85" t="s">
        <v>592</v>
      </c>
      <c r="D70" s="85" t="s">
        <v>482</v>
      </c>
      <c r="E70" s="173"/>
    </row>
    <row r="71" spans="1:5" ht="15">
      <c r="A71" s="107"/>
      <c r="B71" s="85"/>
      <c r="C71" s="85" t="s">
        <v>593</v>
      </c>
      <c r="D71" s="85" t="s">
        <v>482</v>
      </c>
      <c r="E71" s="173"/>
    </row>
    <row r="72" spans="1:5" ht="15">
      <c r="A72" s="107"/>
      <c r="B72" s="108"/>
      <c r="C72" s="85" t="s">
        <v>364</v>
      </c>
      <c r="D72" s="85" t="s">
        <v>526</v>
      </c>
      <c r="E72" s="173"/>
    </row>
    <row r="73" spans="1:5" ht="15">
      <c r="A73" s="107"/>
      <c r="B73" s="108"/>
      <c r="C73" s="85" t="s">
        <v>477</v>
      </c>
      <c r="D73" s="85" t="s">
        <v>495</v>
      </c>
      <c r="E73" s="173"/>
    </row>
    <row r="74" spans="1:5" ht="15">
      <c r="A74" s="107"/>
      <c r="B74" s="108"/>
      <c r="C74" s="85" t="s">
        <v>478</v>
      </c>
      <c r="D74" s="85" t="s">
        <v>485</v>
      </c>
      <c r="E74" s="173"/>
    </row>
    <row r="75" spans="1:5" ht="15">
      <c r="A75" s="107"/>
      <c r="B75" s="108"/>
      <c r="C75" s="85" t="s">
        <v>479</v>
      </c>
      <c r="D75" s="85" t="s">
        <v>486</v>
      </c>
      <c r="E75" s="173"/>
    </row>
    <row r="76" spans="1:5" ht="15">
      <c r="A76" s="107"/>
      <c r="B76" s="108"/>
      <c r="C76" s="85" t="s">
        <v>480</v>
      </c>
      <c r="D76" s="85" t="s">
        <v>487</v>
      </c>
      <c r="E76" s="173"/>
    </row>
    <row r="77" spans="1:5" ht="15">
      <c r="A77" s="107"/>
      <c r="B77" s="108"/>
      <c r="C77" s="85" t="s">
        <v>500</v>
      </c>
      <c r="D77" s="85" t="s">
        <v>525</v>
      </c>
      <c r="E77" s="173"/>
    </row>
    <row r="78" spans="1:5" ht="15">
      <c r="A78" s="107"/>
      <c r="B78" s="108"/>
      <c r="C78" s="85" t="s">
        <v>592</v>
      </c>
      <c r="D78" s="85" t="s">
        <v>482</v>
      </c>
      <c r="E78" s="173"/>
    </row>
    <row r="79" spans="1:5" ht="15.75" thickBot="1">
      <c r="A79" s="107"/>
      <c r="B79" s="108"/>
      <c r="C79" s="85" t="s">
        <v>593</v>
      </c>
      <c r="D79" s="85" t="s">
        <v>482</v>
      </c>
      <c r="E79" s="173"/>
    </row>
    <row r="80" spans="1:5" ht="15.75" thickTop="1">
      <c r="A80" s="102" t="s">
        <v>274</v>
      </c>
      <c r="B80" s="102" t="s">
        <v>309</v>
      </c>
      <c r="C80" s="79" t="s">
        <v>500</v>
      </c>
      <c r="D80" s="79" t="s">
        <v>525</v>
      </c>
      <c r="E80" s="170" t="s">
        <v>596</v>
      </c>
    </row>
    <row r="81" spans="1:5" ht="15">
      <c r="A81" s="103"/>
      <c r="B81" s="103"/>
      <c r="C81" s="81" t="s">
        <v>327</v>
      </c>
      <c r="D81" s="81" t="s">
        <v>482</v>
      </c>
      <c r="E81" s="171"/>
    </row>
    <row r="82" spans="1:5" ht="15">
      <c r="A82" s="103"/>
      <c r="B82" s="81"/>
      <c r="C82" s="81" t="s">
        <v>439</v>
      </c>
      <c r="D82" s="81" t="s">
        <v>482</v>
      </c>
      <c r="E82" s="171"/>
    </row>
    <row r="83" spans="1:5" ht="15">
      <c r="A83" s="103"/>
      <c r="B83" s="104"/>
      <c r="C83" s="81" t="s">
        <v>595</v>
      </c>
      <c r="D83" s="81" t="s">
        <v>526</v>
      </c>
      <c r="E83" s="171"/>
    </row>
    <row r="84" spans="1:5" ht="15">
      <c r="A84" s="103"/>
      <c r="B84" s="104"/>
      <c r="C84" s="81" t="s">
        <v>364</v>
      </c>
      <c r="D84" s="81" t="s">
        <v>526</v>
      </c>
      <c r="E84" s="171"/>
    </row>
    <row r="85" spans="1:5" ht="15">
      <c r="A85" s="103"/>
      <c r="B85" s="104"/>
      <c r="C85" s="81" t="s">
        <v>477</v>
      </c>
      <c r="D85" s="81" t="s">
        <v>495</v>
      </c>
      <c r="E85" s="171"/>
    </row>
    <row r="86" spans="1:5" ht="15">
      <c r="A86" s="103"/>
      <c r="B86" s="104"/>
      <c r="C86" s="81" t="s">
        <v>478</v>
      </c>
      <c r="D86" s="81" t="s">
        <v>485</v>
      </c>
      <c r="E86" s="171"/>
    </row>
    <row r="87" spans="1:5" ht="15">
      <c r="A87" s="103"/>
      <c r="B87" s="104"/>
      <c r="C87" s="81" t="s">
        <v>479</v>
      </c>
      <c r="D87" s="81" t="s">
        <v>486</v>
      </c>
      <c r="E87" s="171"/>
    </row>
    <row r="88" spans="1:5" ht="15.75" thickBot="1">
      <c r="A88" s="103"/>
      <c r="B88" s="104"/>
      <c r="C88" s="81" t="s">
        <v>480</v>
      </c>
      <c r="D88" s="81" t="s">
        <v>487</v>
      </c>
      <c r="E88" s="171"/>
    </row>
    <row r="89" spans="1:5" ht="15.75" thickTop="1">
      <c r="A89" s="112" t="s">
        <v>275</v>
      </c>
      <c r="B89" s="112" t="s">
        <v>597</v>
      </c>
      <c r="C89" s="113" t="s">
        <v>500</v>
      </c>
      <c r="D89" s="113" t="s">
        <v>540</v>
      </c>
      <c r="E89" s="172" t="s">
        <v>599</v>
      </c>
    </row>
    <row r="90" spans="1:5" ht="15">
      <c r="A90" s="107"/>
      <c r="B90" s="107"/>
      <c r="C90" s="85" t="s">
        <v>382</v>
      </c>
      <c r="D90" s="85" t="s">
        <v>494</v>
      </c>
      <c r="E90" s="173"/>
    </row>
    <row r="91" spans="1:5" ht="15">
      <c r="A91" s="107"/>
      <c r="B91" s="85"/>
      <c r="C91" s="85" t="s">
        <v>477</v>
      </c>
      <c r="D91" s="85" t="s">
        <v>495</v>
      </c>
      <c r="E91" s="173"/>
    </row>
    <row r="92" spans="1:5" ht="15">
      <c r="A92" s="107"/>
      <c r="B92" s="108"/>
      <c r="C92" s="85" t="s">
        <v>527</v>
      </c>
      <c r="D92" s="85" t="s">
        <v>496</v>
      </c>
      <c r="E92" s="173"/>
    </row>
    <row r="93" spans="1:5" ht="15">
      <c r="A93" s="107"/>
      <c r="B93" s="108"/>
      <c r="C93" s="85" t="s">
        <v>478</v>
      </c>
      <c r="D93" s="85" t="s">
        <v>485</v>
      </c>
      <c r="E93" s="173"/>
    </row>
    <row r="94" spans="1:5" ht="15">
      <c r="A94" s="107"/>
      <c r="B94" s="108"/>
      <c r="C94" s="85" t="s">
        <v>479</v>
      </c>
      <c r="D94" s="85" t="s">
        <v>598</v>
      </c>
      <c r="E94" s="173"/>
    </row>
    <row r="95" spans="1:5" ht="15">
      <c r="A95" s="107"/>
      <c r="B95" s="108"/>
      <c r="C95" s="85" t="s">
        <v>480</v>
      </c>
      <c r="D95" s="85" t="s">
        <v>487</v>
      </c>
      <c r="E95" s="173"/>
    </row>
    <row r="96" spans="1:5" ht="15.75" thickBot="1">
      <c r="A96" s="107"/>
      <c r="B96" s="108"/>
      <c r="C96" s="85" t="s">
        <v>500</v>
      </c>
      <c r="D96" s="85" t="s">
        <v>540</v>
      </c>
      <c r="E96" s="173"/>
    </row>
    <row r="97" spans="1:5" ht="30.75" thickTop="1">
      <c r="A97" s="102" t="s">
        <v>276</v>
      </c>
      <c r="B97" s="102" t="s">
        <v>417</v>
      </c>
      <c r="C97" s="79" t="s">
        <v>580</v>
      </c>
      <c r="D97" s="79" t="s">
        <v>525</v>
      </c>
      <c r="E97" s="170" t="s">
        <v>0</v>
      </c>
    </row>
    <row r="98" spans="1:5" ht="15">
      <c r="A98" s="103"/>
      <c r="B98" s="103"/>
      <c r="C98" s="81" t="s">
        <v>364</v>
      </c>
      <c r="D98" s="81" t="s">
        <v>526</v>
      </c>
      <c r="E98" s="171"/>
    </row>
    <row r="99" spans="1:5" ht="15">
      <c r="A99" s="103"/>
      <c r="B99" s="104"/>
      <c r="C99" s="81" t="s">
        <v>595</v>
      </c>
      <c r="D99" s="81" t="s">
        <v>526</v>
      </c>
      <c r="E99" s="171"/>
    </row>
    <row r="100" spans="1:5" ht="15">
      <c r="A100" s="103"/>
      <c r="B100" s="104"/>
      <c r="C100" s="81" t="s">
        <v>311</v>
      </c>
      <c r="D100" s="81" t="s">
        <v>526</v>
      </c>
      <c r="E100" s="171"/>
    </row>
    <row r="101" spans="1:5" ht="15">
      <c r="A101" s="103"/>
      <c r="B101" s="104"/>
      <c r="C101" s="81" t="s">
        <v>600</v>
      </c>
      <c r="D101" s="81" t="s">
        <v>495</v>
      </c>
      <c r="E101" s="171"/>
    </row>
    <row r="102" spans="1:5" ht="15">
      <c r="A102" s="103"/>
      <c r="B102" s="104"/>
      <c r="C102" s="81" t="s">
        <v>477</v>
      </c>
      <c r="D102" s="81" t="s">
        <v>495</v>
      </c>
      <c r="E102" s="171"/>
    </row>
    <row r="103" spans="1:5" ht="15">
      <c r="A103" s="103"/>
      <c r="B103" s="104"/>
      <c r="C103" s="81" t="s">
        <v>478</v>
      </c>
      <c r="D103" s="81" t="s">
        <v>485</v>
      </c>
      <c r="E103" s="171"/>
    </row>
    <row r="104" spans="1:5" ht="15.75" thickBot="1">
      <c r="A104" s="103"/>
      <c r="B104" s="104"/>
      <c r="C104" s="81" t="s">
        <v>479</v>
      </c>
      <c r="D104" s="81" t="s">
        <v>486</v>
      </c>
      <c r="E104" s="171"/>
    </row>
    <row r="105" spans="1:5" ht="30.75" thickTop="1">
      <c r="A105" s="112" t="s">
        <v>277</v>
      </c>
      <c r="B105" s="112" t="s">
        <v>1</v>
      </c>
      <c r="C105" s="113" t="s">
        <v>580</v>
      </c>
      <c r="D105" s="113" t="s">
        <v>482</v>
      </c>
      <c r="E105" s="172" t="s">
        <v>2</v>
      </c>
    </row>
    <row r="106" spans="1:5" ht="15">
      <c r="A106" s="107"/>
      <c r="B106" s="107"/>
      <c r="C106" s="85" t="s">
        <v>500</v>
      </c>
      <c r="D106" s="85" t="s">
        <v>526</v>
      </c>
      <c r="E106" s="173"/>
    </row>
    <row r="107" spans="1:5" ht="15">
      <c r="A107" s="107"/>
      <c r="B107" s="108"/>
      <c r="C107" s="85" t="s">
        <v>364</v>
      </c>
      <c r="D107" s="85" t="s">
        <v>526</v>
      </c>
      <c r="E107" s="173"/>
    </row>
    <row r="108" spans="1:5" ht="15">
      <c r="A108" s="107"/>
      <c r="B108" s="108"/>
      <c r="C108" s="85" t="s">
        <v>477</v>
      </c>
      <c r="D108" s="85" t="s">
        <v>531</v>
      </c>
      <c r="E108" s="173"/>
    </row>
    <row r="109" spans="1:5" ht="15">
      <c r="A109" s="107"/>
      <c r="B109" s="108"/>
      <c r="C109" s="85" t="s">
        <v>478</v>
      </c>
      <c r="D109" s="85" t="s">
        <v>485</v>
      </c>
      <c r="E109" s="173"/>
    </row>
    <row r="110" spans="1:5" ht="15">
      <c r="A110" s="107"/>
      <c r="B110" s="108"/>
      <c r="C110" s="85" t="s">
        <v>479</v>
      </c>
      <c r="D110" s="85" t="s">
        <v>486</v>
      </c>
      <c r="E110" s="173"/>
    </row>
    <row r="111" spans="1:5" ht="15.75" thickBot="1">
      <c r="A111" s="107"/>
      <c r="B111" s="108"/>
      <c r="C111" s="85" t="s">
        <v>480</v>
      </c>
      <c r="D111" s="85" t="s">
        <v>487</v>
      </c>
      <c r="E111" s="173"/>
    </row>
    <row r="112" spans="1:5" ht="30.75" thickTop="1">
      <c r="A112" s="102" t="s">
        <v>278</v>
      </c>
      <c r="B112" s="102" t="s">
        <v>441</v>
      </c>
      <c r="C112" s="79" t="s">
        <v>580</v>
      </c>
      <c r="D112" s="79" t="s">
        <v>525</v>
      </c>
      <c r="E112" s="170" t="s">
        <v>4</v>
      </c>
    </row>
    <row r="113" spans="1:5" ht="15">
      <c r="A113" s="103"/>
      <c r="B113" s="103"/>
      <c r="C113" s="81" t="s">
        <v>3</v>
      </c>
      <c r="D113" s="81" t="s">
        <v>482</v>
      </c>
      <c r="E113" s="171"/>
    </row>
    <row r="114" spans="1:5" ht="15">
      <c r="A114" s="103"/>
      <c r="B114" s="81"/>
      <c r="C114" s="81" t="s">
        <v>364</v>
      </c>
      <c r="D114" s="81" t="s">
        <v>526</v>
      </c>
      <c r="E114" s="171"/>
    </row>
    <row r="115" spans="1:5" ht="15">
      <c r="A115" s="103"/>
      <c r="B115" s="104"/>
      <c r="C115" s="81" t="s">
        <v>595</v>
      </c>
      <c r="D115" s="81" t="s">
        <v>526</v>
      </c>
      <c r="E115" s="171"/>
    </row>
    <row r="116" spans="1:5" ht="15">
      <c r="A116" s="103"/>
      <c r="B116" s="104"/>
      <c r="C116" s="81" t="s">
        <v>477</v>
      </c>
      <c r="D116" s="81" t="s">
        <v>495</v>
      </c>
      <c r="E116" s="171"/>
    </row>
    <row r="117" spans="1:5" ht="15">
      <c r="A117" s="103"/>
      <c r="B117" s="104"/>
      <c r="C117" s="81" t="s">
        <v>478</v>
      </c>
      <c r="D117" s="81" t="s">
        <v>485</v>
      </c>
      <c r="E117" s="171"/>
    </row>
    <row r="118" spans="1:5" ht="15">
      <c r="A118" s="103"/>
      <c r="B118" s="104"/>
      <c r="C118" s="81" t="s">
        <v>479</v>
      </c>
      <c r="D118" s="81" t="s">
        <v>486</v>
      </c>
      <c r="E118" s="171"/>
    </row>
    <row r="119" spans="1:5" ht="15">
      <c r="A119" s="103"/>
      <c r="B119" s="104"/>
      <c r="C119" s="81" t="s">
        <v>480</v>
      </c>
      <c r="D119" s="81" t="s">
        <v>487</v>
      </c>
      <c r="E119" s="171"/>
    </row>
    <row r="120" spans="1:5" ht="15.75" thickBot="1">
      <c r="A120" s="103"/>
      <c r="B120" s="104"/>
      <c r="C120" s="81"/>
      <c r="D120" s="81"/>
      <c r="E120" s="171"/>
    </row>
    <row r="121" spans="1:5" ht="30.75" thickTop="1">
      <c r="A121" s="112" t="s">
        <v>279</v>
      </c>
      <c r="B121" s="112" t="s">
        <v>302</v>
      </c>
      <c r="C121" s="113" t="s">
        <v>580</v>
      </c>
      <c r="D121" s="113" t="s">
        <v>525</v>
      </c>
      <c r="E121" s="172" t="s">
        <v>5</v>
      </c>
    </row>
    <row r="122" spans="1:5" ht="15">
      <c r="A122" s="107"/>
      <c r="B122" s="107"/>
      <c r="C122" s="85" t="s">
        <v>307</v>
      </c>
      <c r="D122" s="85" t="s">
        <v>494</v>
      </c>
      <c r="E122" s="173"/>
    </row>
    <row r="123" spans="1:5" ht="15">
      <c r="A123" s="107"/>
      <c r="B123" s="108"/>
      <c r="C123" s="85" t="s">
        <v>364</v>
      </c>
      <c r="D123" s="85" t="s">
        <v>512</v>
      </c>
      <c r="E123" s="173"/>
    </row>
    <row r="124" spans="1:5" ht="15">
      <c r="A124" s="107"/>
      <c r="B124" s="108"/>
      <c r="C124" s="85" t="s">
        <v>595</v>
      </c>
      <c r="D124" s="85" t="s">
        <v>526</v>
      </c>
      <c r="E124" s="173"/>
    </row>
    <row r="125" spans="1:5" ht="15">
      <c r="A125" s="107"/>
      <c r="B125" s="108"/>
      <c r="C125" s="85" t="s">
        <v>477</v>
      </c>
      <c r="D125" s="85" t="s">
        <v>495</v>
      </c>
      <c r="E125" s="173"/>
    </row>
    <row r="126" spans="1:5" ht="15">
      <c r="A126" s="107"/>
      <c r="B126" s="108"/>
      <c r="C126" s="85" t="s">
        <v>478</v>
      </c>
      <c r="D126" s="85" t="s">
        <v>485</v>
      </c>
      <c r="E126" s="173"/>
    </row>
    <row r="127" spans="1:5" ht="15">
      <c r="A127" s="107"/>
      <c r="B127" s="108"/>
      <c r="C127" s="85" t="s">
        <v>479</v>
      </c>
      <c r="D127" s="85" t="s">
        <v>486</v>
      </c>
      <c r="E127" s="173"/>
    </row>
    <row r="128" spans="1:5" ht="15.75" thickBot="1">
      <c r="A128" s="107"/>
      <c r="B128" s="108"/>
      <c r="C128" s="85" t="s">
        <v>480</v>
      </c>
      <c r="D128" s="85" t="s">
        <v>487</v>
      </c>
      <c r="E128" s="173"/>
    </row>
    <row r="129" spans="1:5" ht="45.75" thickTop="1">
      <c r="A129" s="102" t="s">
        <v>280</v>
      </c>
      <c r="B129" s="102" t="s">
        <v>6</v>
      </c>
      <c r="C129" s="79" t="s">
        <v>500</v>
      </c>
      <c r="D129" s="79" t="s">
        <v>525</v>
      </c>
      <c r="E129" s="170" t="s">
        <v>9</v>
      </c>
    </row>
    <row r="130" spans="1:5" ht="15">
      <c r="A130" s="103"/>
      <c r="B130" s="103"/>
      <c r="C130" s="81" t="s">
        <v>7</v>
      </c>
      <c r="D130" s="81" t="s">
        <v>8</v>
      </c>
      <c r="E130" s="171"/>
    </row>
    <row r="131" spans="1:5" ht="15">
      <c r="A131" s="103"/>
      <c r="B131" s="104"/>
      <c r="C131" s="81" t="s">
        <v>327</v>
      </c>
      <c r="D131" s="81" t="s">
        <v>482</v>
      </c>
      <c r="E131" s="171"/>
    </row>
    <row r="132" spans="1:5" ht="15">
      <c r="A132" s="103"/>
      <c r="B132" s="104"/>
      <c r="C132" s="81" t="s">
        <v>582</v>
      </c>
      <c r="D132" s="81" t="s">
        <v>495</v>
      </c>
      <c r="E132" s="171"/>
    </row>
    <row r="133" spans="1:5" ht="15">
      <c r="A133" s="103"/>
      <c r="B133" s="104"/>
      <c r="C133" s="81" t="s">
        <v>477</v>
      </c>
      <c r="D133" s="81" t="s">
        <v>495</v>
      </c>
      <c r="E133" s="171"/>
    </row>
    <row r="134" spans="1:5" ht="15">
      <c r="A134" s="103"/>
      <c r="B134" s="104"/>
      <c r="C134" s="81" t="s">
        <v>478</v>
      </c>
      <c r="D134" s="81" t="s">
        <v>485</v>
      </c>
      <c r="E134" s="171"/>
    </row>
    <row r="135" spans="1:5" ht="15">
      <c r="A135" s="103"/>
      <c r="B135" s="104"/>
      <c r="C135" s="81" t="s">
        <v>479</v>
      </c>
      <c r="D135" s="81" t="s">
        <v>486</v>
      </c>
      <c r="E135" s="171"/>
    </row>
    <row r="136" spans="1:5" ht="15.75" thickBot="1">
      <c r="A136" s="103"/>
      <c r="B136" s="104"/>
      <c r="C136" s="81" t="s">
        <v>480</v>
      </c>
      <c r="D136" s="81" t="s">
        <v>487</v>
      </c>
      <c r="E136" s="171"/>
    </row>
    <row r="137" spans="1:5" ht="30.75" thickTop="1">
      <c r="A137" s="112" t="s">
        <v>10</v>
      </c>
      <c r="B137" s="112" t="s">
        <v>431</v>
      </c>
      <c r="C137" s="113" t="s">
        <v>580</v>
      </c>
      <c r="D137" s="113" t="s">
        <v>525</v>
      </c>
      <c r="E137" s="172" t="s">
        <v>11</v>
      </c>
    </row>
    <row r="138" spans="1:5" ht="15">
      <c r="A138" s="107"/>
      <c r="B138" s="107"/>
      <c r="C138" s="85" t="s">
        <v>311</v>
      </c>
      <c r="D138" s="85" t="s">
        <v>494</v>
      </c>
      <c r="E138" s="173"/>
    </row>
    <row r="139" spans="1:5" ht="15">
      <c r="A139" s="107"/>
      <c r="B139" s="85"/>
      <c r="C139" s="85" t="s">
        <v>595</v>
      </c>
      <c r="D139" s="85" t="s">
        <v>494</v>
      </c>
      <c r="E139" s="173"/>
    </row>
    <row r="140" spans="1:5" ht="15">
      <c r="A140" s="107"/>
      <c r="B140" s="108"/>
      <c r="C140" s="85" t="s">
        <v>364</v>
      </c>
      <c r="D140" s="85" t="s">
        <v>512</v>
      </c>
      <c r="E140" s="173"/>
    </row>
    <row r="141" spans="1:5" ht="15">
      <c r="A141" s="107"/>
      <c r="B141" s="108"/>
      <c r="C141" s="85" t="s">
        <v>477</v>
      </c>
      <c r="D141" s="85" t="s">
        <v>495</v>
      </c>
      <c r="E141" s="173"/>
    </row>
    <row r="142" spans="1:5" ht="15">
      <c r="A142" s="107"/>
      <c r="B142" s="108"/>
      <c r="C142" s="85" t="s">
        <v>582</v>
      </c>
      <c r="D142" s="85" t="s">
        <v>495</v>
      </c>
      <c r="E142" s="173"/>
    </row>
    <row r="143" spans="1:5" ht="15">
      <c r="A143" s="107"/>
      <c r="B143" s="108"/>
      <c r="C143" s="85" t="s">
        <v>478</v>
      </c>
      <c r="D143" s="85" t="s">
        <v>485</v>
      </c>
      <c r="E143" s="173"/>
    </row>
    <row r="144" spans="1:5" ht="15">
      <c r="A144" s="107"/>
      <c r="B144" s="108"/>
      <c r="C144" s="85" t="s">
        <v>479</v>
      </c>
      <c r="D144" s="85" t="s">
        <v>486</v>
      </c>
      <c r="E144" s="173"/>
    </row>
    <row r="145" spans="1:5" ht="15.75" thickBot="1">
      <c r="A145" s="107"/>
      <c r="B145" s="108"/>
      <c r="C145" s="85" t="s">
        <v>480</v>
      </c>
      <c r="D145" s="85" t="s">
        <v>487</v>
      </c>
      <c r="E145" s="173"/>
    </row>
    <row r="146" spans="1:5" ht="15.75" thickTop="1">
      <c r="A146" s="102" t="s">
        <v>338</v>
      </c>
      <c r="B146" s="102" t="s">
        <v>311</v>
      </c>
      <c r="C146" s="79" t="s">
        <v>580</v>
      </c>
      <c r="D146" s="79" t="s">
        <v>525</v>
      </c>
      <c r="E146" s="170" t="s">
        <v>13</v>
      </c>
    </row>
    <row r="147" spans="1:5" ht="15">
      <c r="A147" s="103"/>
      <c r="B147" s="103"/>
      <c r="C147" s="81" t="s">
        <v>12</v>
      </c>
      <c r="D147" s="81" t="s">
        <v>494</v>
      </c>
      <c r="E147" s="171"/>
    </row>
    <row r="148" spans="1:5" ht="15">
      <c r="A148" s="103"/>
      <c r="B148" s="81"/>
      <c r="C148" s="81" t="s">
        <v>364</v>
      </c>
      <c r="D148" s="81" t="s">
        <v>526</v>
      </c>
      <c r="E148" s="171"/>
    </row>
    <row r="149" spans="1:5" ht="15">
      <c r="A149" s="103"/>
      <c r="B149" s="104"/>
      <c r="C149" s="81" t="s">
        <v>595</v>
      </c>
      <c r="D149" s="81" t="s">
        <v>526</v>
      </c>
      <c r="E149" s="171"/>
    </row>
    <row r="150" spans="1:5" ht="15">
      <c r="A150" s="103"/>
      <c r="B150" s="104"/>
      <c r="C150" s="81" t="s">
        <v>477</v>
      </c>
      <c r="D150" s="81" t="s">
        <v>495</v>
      </c>
      <c r="E150" s="171"/>
    </row>
    <row r="151" spans="1:5" ht="15">
      <c r="A151" s="103"/>
      <c r="B151" s="104"/>
      <c r="C151" s="81" t="s">
        <v>582</v>
      </c>
      <c r="D151" s="81" t="s">
        <v>495</v>
      </c>
      <c r="E151" s="171"/>
    </row>
    <row r="152" spans="1:5" ht="15">
      <c r="A152" s="103"/>
      <c r="B152" s="104"/>
      <c r="C152" s="81" t="s">
        <v>478</v>
      </c>
      <c r="D152" s="81" t="s">
        <v>485</v>
      </c>
      <c r="E152" s="171"/>
    </row>
    <row r="153" spans="1:5" ht="15.75" thickBot="1">
      <c r="A153" s="103"/>
      <c r="B153" s="104"/>
      <c r="C153" s="81" t="s">
        <v>479</v>
      </c>
      <c r="D153" s="81" t="s">
        <v>486</v>
      </c>
      <c r="E153" s="171"/>
    </row>
    <row r="154" spans="1:5" ht="30.75" thickTop="1">
      <c r="A154" s="112" t="s">
        <v>365</v>
      </c>
      <c r="B154" s="112" t="s">
        <v>359</v>
      </c>
      <c r="C154" s="113" t="s">
        <v>14</v>
      </c>
      <c r="D154" s="113" t="s">
        <v>494</v>
      </c>
      <c r="E154" s="172" t="s">
        <v>16</v>
      </c>
    </row>
    <row r="155" spans="1:5" ht="15">
      <c r="A155" s="107"/>
      <c r="B155" s="107"/>
      <c r="C155" s="85" t="s">
        <v>500</v>
      </c>
      <c r="D155" s="85" t="s">
        <v>482</v>
      </c>
      <c r="E155" s="173"/>
    </row>
    <row r="156" spans="1:5" ht="15">
      <c r="A156" s="107"/>
      <c r="B156" s="108"/>
      <c r="C156" s="85" t="s">
        <v>560</v>
      </c>
      <c r="D156" s="85" t="s">
        <v>482</v>
      </c>
      <c r="E156" s="173"/>
    </row>
    <row r="157" spans="1:5" ht="15">
      <c r="A157" s="107"/>
      <c r="B157" s="108"/>
      <c r="C157" s="85" t="s">
        <v>364</v>
      </c>
      <c r="D157" s="85" t="s">
        <v>15</v>
      </c>
      <c r="E157" s="173"/>
    </row>
    <row r="158" spans="1:5" ht="15">
      <c r="A158" s="107"/>
      <c r="B158" s="108"/>
      <c r="C158" s="85" t="s">
        <v>477</v>
      </c>
      <c r="D158" s="85" t="s">
        <v>495</v>
      </c>
      <c r="E158" s="173"/>
    </row>
    <row r="159" spans="1:5" ht="15">
      <c r="A159" s="107"/>
      <c r="B159" s="108"/>
      <c r="C159" s="85" t="s">
        <v>478</v>
      </c>
      <c r="D159" s="85" t="s">
        <v>485</v>
      </c>
      <c r="E159" s="173"/>
    </row>
    <row r="160" spans="1:5" ht="15">
      <c r="A160" s="107"/>
      <c r="B160" s="108"/>
      <c r="C160" s="85" t="s">
        <v>479</v>
      </c>
      <c r="D160" s="85" t="s">
        <v>486</v>
      </c>
      <c r="E160" s="173"/>
    </row>
    <row r="161" spans="1:5" ht="15.75" thickBot="1">
      <c r="A161" s="107"/>
      <c r="B161" s="108"/>
      <c r="C161" s="85" t="s">
        <v>480</v>
      </c>
      <c r="D161" s="85" t="s">
        <v>487</v>
      </c>
      <c r="E161" s="173"/>
    </row>
    <row r="162" spans="1:5" ht="15.75" thickTop="1">
      <c r="A162" s="102" t="s">
        <v>339</v>
      </c>
      <c r="B162" s="102" t="s">
        <v>17</v>
      </c>
      <c r="C162" s="79" t="s">
        <v>366</v>
      </c>
      <c r="D162" s="79" t="s">
        <v>525</v>
      </c>
      <c r="E162" s="170" t="s">
        <v>19</v>
      </c>
    </row>
    <row r="163" spans="1:5" ht="15">
      <c r="A163" s="103"/>
      <c r="B163" s="103"/>
      <c r="C163" s="81" t="s">
        <v>580</v>
      </c>
      <c r="D163" s="81" t="s">
        <v>482</v>
      </c>
      <c r="E163" s="171"/>
    </row>
    <row r="164" spans="1:5" ht="15">
      <c r="A164" s="103"/>
      <c r="B164" s="81"/>
      <c r="C164" s="81" t="s">
        <v>500</v>
      </c>
      <c r="D164" s="81" t="s">
        <v>526</v>
      </c>
      <c r="E164" s="171"/>
    </row>
    <row r="165" spans="1:5" ht="15">
      <c r="A165" s="103"/>
      <c r="B165" s="104"/>
      <c r="C165" s="81" t="s">
        <v>520</v>
      </c>
      <c r="D165" s="81" t="s">
        <v>18</v>
      </c>
      <c r="E165" s="171"/>
    </row>
    <row r="166" spans="1:5" ht="15">
      <c r="A166" s="103"/>
      <c r="B166" s="104"/>
      <c r="C166" s="81" t="s">
        <v>364</v>
      </c>
      <c r="D166" s="81" t="s">
        <v>526</v>
      </c>
      <c r="E166" s="171"/>
    </row>
    <row r="167" spans="1:5" ht="15">
      <c r="A167" s="103"/>
      <c r="B167" s="104"/>
      <c r="C167" s="81" t="s">
        <v>595</v>
      </c>
      <c r="D167" s="81" t="s">
        <v>526</v>
      </c>
      <c r="E167" s="171"/>
    </row>
    <row r="168" spans="1:5" ht="15">
      <c r="A168" s="103"/>
      <c r="B168" s="104"/>
      <c r="C168" s="81" t="s">
        <v>477</v>
      </c>
      <c r="D168" s="81" t="s">
        <v>495</v>
      </c>
      <c r="E168" s="171"/>
    </row>
    <row r="169" spans="1:5" ht="15">
      <c r="A169" s="103"/>
      <c r="B169" s="104"/>
      <c r="C169" s="81" t="s">
        <v>478</v>
      </c>
      <c r="D169" s="81" t="s">
        <v>485</v>
      </c>
      <c r="E169" s="171"/>
    </row>
    <row r="170" spans="1:5" ht="15.75" thickBot="1">
      <c r="A170" s="103"/>
      <c r="B170" s="104"/>
      <c r="C170" s="81" t="s">
        <v>479</v>
      </c>
      <c r="D170" s="81" t="s">
        <v>486</v>
      </c>
      <c r="E170" s="171"/>
    </row>
    <row r="171" spans="1:5" ht="15.75" thickTop="1">
      <c r="A171" s="112" t="s">
        <v>340</v>
      </c>
      <c r="B171" s="112" t="s">
        <v>429</v>
      </c>
      <c r="C171" s="113" t="s">
        <v>500</v>
      </c>
      <c r="D171" s="113" t="s">
        <v>525</v>
      </c>
      <c r="E171" s="172" t="s">
        <v>20</v>
      </c>
    </row>
    <row r="172" spans="1:5" ht="15">
      <c r="A172" s="107"/>
      <c r="B172" s="107"/>
      <c r="C172" s="85" t="s">
        <v>429</v>
      </c>
      <c r="D172" s="85" t="s">
        <v>482</v>
      </c>
      <c r="E172" s="173"/>
    </row>
    <row r="173" spans="1:5" ht="15">
      <c r="A173" s="107"/>
      <c r="B173" s="114"/>
      <c r="C173" s="85" t="s">
        <v>364</v>
      </c>
      <c r="D173" s="85" t="s">
        <v>526</v>
      </c>
      <c r="E173" s="173"/>
    </row>
    <row r="174" spans="1:5" ht="15">
      <c r="A174" s="107"/>
      <c r="B174" s="85"/>
      <c r="C174" s="85" t="s">
        <v>477</v>
      </c>
      <c r="D174" s="85" t="s">
        <v>495</v>
      </c>
      <c r="E174" s="173"/>
    </row>
    <row r="175" spans="1:5" ht="15">
      <c r="A175" s="107"/>
      <c r="B175" s="108"/>
      <c r="C175" s="85" t="s">
        <v>478</v>
      </c>
      <c r="D175" s="85" t="s">
        <v>485</v>
      </c>
      <c r="E175" s="173"/>
    </row>
    <row r="176" spans="1:5" ht="15">
      <c r="A176" s="107"/>
      <c r="B176" s="108"/>
      <c r="C176" s="85" t="s">
        <v>479</v>
      </c>
      <c r="D176" s="85" t="s">
        <v>486</v>
      </c>
      <c r="E176" s="173"/>
    </row>
    <row r="177" spans="1:5" ht="15.75" thickBot="1">
      <c r="A177" s="107"/>
      <c r="B177" s="108"/>
      <c r="C177" s="85" t="s">
        <v>480</v>
      </c>
      <c r="D177" s="85" t="s">
        <v>487</v>
      </c>
      <c r="E177" s="173"/>
    </row>
    <row r="178" spans="1:5" ht="30.75" thickTop="1">
      <c r="A178" s="102" t="s">
        <v>341</v>
      </c>
      <c r="B178" s="102" t="s">
        <v>443</v>
      </c>
      <c r="C178" s="79" t="s">
        <v>500</v>
      </c>
      <c r="D178" s="79" t="s">
        <v>525</v>
      </c>
      <c r="E178" s="170" t="s">
        <v>21</v>
      </c>
    </row>
    <row r="179" spans="1:5" ht="15">
      <c r="A179" s="103"/>
      <c r="B179" s="103"/>
      <c r="C179" s="81" t="s">
        <v>307</v>
      </c>
      <c r="D179" s="81" t="s">
        <v>494</v>
      </c>
      <c r="E179" s="171"/>
    </row>
    <row r="180" spans="1:5" ht="15">
      <c r="A180" s="103"/>
      <c r="B180" s="115"/>
      <c r="C180" s="81" t="s">
        <v>299</v>
      </c>
      <c r="D180" s="81" t="s">
        <v>482</v>
      </c>
      <c r="E180" s="171"/>
    </row>
    <row r="181" spans="1:5" ht="15">
      <c r="A181" s="103"/>
      <c r="B181" s="104"/>
      <c r="C181" s="81" t="s">
        <v>364</v>
      </c>
      <c r="D181" s="81" t="s">
        <v>526</v>
      </c>
      <c r="E181" s="171"/>
    </row>
    <row r="182" spans="1:5" ht="15">
      <c r="A182" s="103"/>
      <c r="B182" s="104"/>
      <c r="C182" s="81" t="s">
        <v>477</v>
      </c>
      <c r="D182" s="81" t="s">
        <v>495</v>
      </c>
      <c r="E182" s="171"/>
    </row>
    <row r="183" spans="1:5" ht="15">
      <c r="A183" s="103"/>
      <c r="B183" s="104"/>
      <c r="C183" s="81" t="s">
        <v>478</v>
      </c>
      <c r="D183" s="81" t="s">
        <v>485</v>
      </c>
      <c r="E183" s="171"/>
    </row>
    <row r="184" spans="1:5" ht="15">
      <c r="A184" s="103"/>
      <c r="B184" s="104"/>
      <c r="C184" s="81" t="s">
        <v>480</v>
      </c>
      <c r="D184" s="81" t="s">
        <v>487</v>
      </c>
      <c r="E184" s="171"/>
    </row>
    <row r="185" spans="1:5" ht="15.75" thickBot="1">
      <c r="A185" s="103"/>
      <c r="B185" s="104"/>
      <c r="C185" s="81" t="s">
        <v>479</v>
      </c>
      <c r="D185" s="81" t="s">
        <v>486</v>
      </c>
      <c r="E185" s="171"/>
    </row>
    <row r="186" spans="1:5" ht="30.75" thickTop="1">
      <c r="A186" s="112" t="s">
        <v>342</v>
      </c>
      <c r="B186" s="112" t="s">
        <v>432</v>
      </c>
      <c r="C186" s="113" t="s">
        <v>500</v>
      </c>
      <c r="D186" s="113" t="s">
        <v>525</v>
      </c>
      <c r="E186" s="172" t="s">
        <v>23</v>
      </c>
    </row>
    <row r="187" spans="1:5" ht="15">
      <c r="A187" s="107"/>
      <c r="B187" s="107"/>
      <c r="C187" s="85" t="s">
        <v>364</v>
      </c>
      <c r="D187" s="85" t="s">
        <v>512</v>
      </c>
      <c r="E187" s="173"/>
    </row>
    <row r="188" spans="1:5" ht="15">
      <c r="A188" s="107"/>
      <c r="B188" s="114"/>
      <c r="C188" s="85" t="s">
        <v>22</v>
      </c>
      <c r="D188" s="85" t="s">
        <v>482</v>
      </c>
      <c r="E188" s="173"/>
    </row>
    <row r="189" spans="1:5" ht="15">
      <c r="A189" s="107"/>
      <c r="B189" s="114"/>
      <c r="C189" s="85" t="s">
        <v>477</v>
      </c>
      <c r="D189" s="85" t="s">
        <v>495</v>
      </c>
      <c r="E189" s="173"/>
    </row>
    <row r="190" spans="1:5" ht="15">
      <c r="A190" s="107"/>
      <c r="B190" s="108"/>
      <c r="C190" s="85" t="s">
        <v>478</v>
      </c>
      <c r="D190" s="85" t="s">
        <v>485</v>
      </c>
      <c r="E190" s="173"/>
    </row>
    <row r="191" spans="1:5" ht="15">
      <c r="A191" s="107"/>
      <c r="B191" s="108"/>
      <c r="C191" s="85" t="s">
        <v>480</v>
      </c>
      <c r="D191" s="85" t="s">
        <v>487</v>
      </c>
      <c r="E191" s="173"/>
    </row>
    <row r="192" spans="1:5" ht="15.75" thickBot="1">
      <c r="A192" s="107"/>
      <c r="B192" s="108"/>
      <c r="C192" s="85" t="s">
        <v>479</v>
      </c>
      <c r="D192" s="85" t="s">
        <v>486</v>
      </c>
      <c r="E192" s="173"/>
    </row>
    <row r="193" spans="1:5" ht="60.75" thickTop="1">
      <c r="A193" s="102" t="s">
        <v>343</v>
      </c>
      <c r="B193" s="102" t="s">
        <v>24</v>
      </c>
      <c r="C193" s="79" t="s">
        <v>500</v>
      </c>
      <c r="D193" s="79" t="s">
        <v>525</v>
      </c>
      <c r="E193" s="170" t="s">
        <v>27</v>
      </c>
    </row>
    <row r="194" spans="1:5" ht="15">
      <c r="A194" s="103"/>
      <c r="B194" s="103"/>
      <c r="C194" s="81" t="s">
        <v>25</v>
      </c>
      <c r="D194" s="81" t="s">
        <v>482</v>
      </c>
      <c r="E194" s="171"/>
    </row>
    <row r="195" spans="1:5" ht="15">
      <c r="A195" s="103"/>
      <c r="B195" s="103"/>
      <c r="C195" s="81" t="s">
        <v>26</v>
      </c>
      <c r="D195" s="81" t="s">
        <v>482</v>
      </c>
      <c r="E195" s="171"/>
    </row>
    <row r="196" spans="1:5" ht="15">
      <c r="A196" s="103"/>
      <c r="B196" s="104"/>
      <c r="C196" s="81" t="s">
        <v>364</v>
      </c>
      <c r="D196" s="81" t="s">
        <v>526</v>
      </c>
      <c r="E196" s="171"/>
    </row>
    <row r="197" spans="1:5" ht="15">
      <c r="A197" s="103"/>
      <c r="B197" s="104"/>
      <c r="C197" s="81" t="s">
        <v>477</v>
      </c>
      <c r="D197" s="81" t="s">
        <v>495</v>
      </c>
      <c r="E197" s="171"/>
    </row>
    <row r="198" spans="1:5" ht="15">
      <c r="A198" s="103"/>
      <c r="B198" s="104"/>
      <c r="C198" s="81" t="s">
        <v>478</v>
      </c>
      <c r="D198" s="81" t="s">
        <v>485</v>
      </c>
      <c r="E198" s="171"/>
    </row>
    <row r="199" spans="1:5" ht="15">
      <c r="A199" s="103"/>
      <c r="B199" s="104"/>
      <c r="C199" s="81" t="s">
        <v>480</v>
      </c>
      <c r="D199" s="81" t="s">
        <v>487</v>
      </c>
      <c r="E199" s="171"/>
    </row>
    <row r="200" spans="1:5" ht="15.75" thickBot="1">
      <c r="A200" s="103"/>
      <c r="B200" s="104"/>
      <c r="C200" s="81" t="s">
        <v>479</v>
      </c>
      <c r="D200" s="81" t="s">
        <v>486</v>
      </c>
      <c r="E200" s="171"/>
    </row>
    <row r="201" spans="1:5" ht="60.75" thickTop="1">
      <c r="A201" s="112" t="s">
        <v>344</v>
      </c>
      <c r="B201" s="112" t="s">
        <v>28</v>
      </c>
      <c r="C201" s="113" t="s">
        <v>500</v>
      </c>
      <c r="D201" s="113" t="s">
        <v>525</v>
      </c>
      <c r="E201" s="172" t="s">
        <v>30</v>
      </c>
    </row>
    <row r="202" spans="1:5" ht="45">
      <c r="A202" s="107"/>
      <c r="B202" s="107"/>
      <c r="C202" s="85" t="s">
        <v>29</v>
      </c>
      <c r="D202" s="85" t="s">
        <v>494</v>
      </c>
      <c r="E202" s="173"/>
    </row>
    <row r="203" spans="1:5" ht="15">
      <c r="A203" s="107"/>
      <c r="B203" s="108"/>
      <c r="C203" s="85" t="s">
        <v>488</v>
      </c>
      <c r="D203" s="85" t="s">
        <v>482</v>
      </c>
      <c r="E203" s="173"/>
    </row>
    <row r="204" spans="1:5" ht="15">
      <c r="A204" s="107"/>
      <c r="B204" s="108"/>
      <c r="C204" s="85" t="s">
        <v>364</v>
      </c>
      <c r="D204" s="85" t="s">
        <v>526</v>
      </c>
      <c r="E204" s="173"/>
    </row>
    <row r="205" spans="1:5" ht="15">
      <c r="A205" s="107"/>
      <c r="B205" s="108"/>
      <c r="C205" s="85" t="s">
        <v>477</v>
      </c>
      <c r="D205" s="85" t="s">
        <v>495</v>
      </c>
      <c r="E205" s="173"/>
    </row>
    <row r="206" spans="1:5" ht="15">
      <c r="A206" s="107"/>
      <c r="B206" s="108"/>
      <c r="C206" s="85" t="s">
        <v>478</v>
      </c>
      <c r="D206" s="85" t="s">
        <v>485</v>
      </c>
      <c r="E206" s="173"/>
    </row>
    <row r="207" spans="1:5" ht="15.75" thickBot="1">
      <c r="A207" s="107"/>
      <c r="B207" s="108"/>
      <c r="C207" s="85" t="s">
        <v>479</v>
      </c>
      <c r="D207" s="85" t="s">
        <v>486</v>
      </c>
      <c r="E207" s="173"/>
    </row>
    <row r="208" spans="1:5" ht="15.75" thickTop="1">
      <c r="A208" s="102" t="s">
        <v>345</v>
      </c>
      <c r="B208" s="102" t="s">
        <v>312</v>
      </c>
      <c r="C208" s="79" t="s">
        <v>500</v>
      </c>
      <c r="D208" s="79" t="s">
        <v>525</v>
      </c>
      <c r="E208" s="170" t="s">
        <v>13</v>
      </c>
    </row>
    <row r="209" spans="1:5" ht="15">
      <c r="A209" s="103"/>
      <c r="B209" s="103"/>
      <c r="C209" s="81" t="s">
        <v>520</v>
      </c>
      <c r="D209" s="81" t="s">
        <v>546</v>
      </c>
      <c r="E209" s="171"/>
    </row>
    <row r="210" spans="1:5" ht="15">
      <c r="A210" s="103"/>
      <c r="B210" s="115"/>
      <c r="C210" s="81" t="s">
        <v>311</v>
      </c>
      <c r="D210" s="81" t="s">
        <v>482</v>
      </c>
      <c r="E210" s="171"/>
    </row>
    <row r="211" spans="1:5" ht="15">
      <c r="A211" s="103"/>
      <c r="B211" s="104"/>
      <c r="C211" s="81" t="s">
        <v>364</v>
      </c>
      <c r="D211" s="81" t="s">
        <v>526</v>
      </c>
      <c r="E211" s="171"/>
    </row>
    <row r="212" spans="1:5" ht="15">
      <c r="A212" s="103"/>
      <c r="B212" s="104"/>
      <c r="C212" s="81" t="s">
        <v>477</v>
      </c>
      <c r="D212" s="81" t="s">
        <v>495</v>
      </c>
      <c r="E212" s="171"/>
    </row>
    <row r="213" spans="1:5" ht="15">
      <c r="A213" s="103"/>
      <c r="B213" s="104"/>
      <c r="C213" s="81" t="s">
        <v>582</v>
      </c>
      <c r="D213" s="81" t="s">
        <v>495</v>
      </c>
      <c r="E213" s="171"/>
    </row>
    <row r="214" spans="1:5" ht="15">
      <c r="A214" s="103"/>
      <c r="B214" s="104"/>
      <c r="C214" s="81" t="s">
        <v>478</v>
      </c>
      <c r="D214" s="81" t="s">
        <v>485</v>
      </c>
      <c r="E214" s="171"/>
    </row>
    <row r="215" spans="1:5" ht="15">
      <c r="A215" s="103"/>
      <c r="B215" s="104"/>
      <c r="C215" s="81" t="s">
        <v>479</v>
      </c>
      <c r="D215" s="81" t="s">
        <v>486</v>
      </c>
      <c r="E215" s="171"/>
    </row>
    <row r="216" spans="1:5" ht="15.75" thickBot="1">
      <c r="A216" s="103"/>
      <c r="B216" s="104"/>
      <c r="C216" s="81" t="s">
        <v>480</v>
      </c>
      <c r="D216" s="81" t="s">
        <v>487</v>
      </c>
      <c r="E216" s="171"/>
    </row>
    <row r="217" spans="1:5" ht="60.75" thickTop="1">
      <c r="A217" s="112" t="s">
        <v>346</v>
      </c>
      <c r="B217" s="112" t="s">
        <v>31</v>
      </c>
      <c r="C217" s="113" t="s">
        <v>500</v>
      </c>
      <c r="D217" s="113" t="s">
        <v>525</v>
      </c>
      <c r="E217" s="172" t="s">
        <v>32</v>
      </c>
    </row>
    <row r="218" spans="1:5" ht="15">
      <c r="A218" s="107"/>
      <c r="B218" s="107"/>
      <c r="C218" s="85" t="s">
        <v>307</v>
      </c>
      <c r="D218" s="85" t="s">
        <v>512</v>
      </c>
      <c r="E218" s="173"/>
    </row>
    <row r="219" spans="1:5" ht="15">
      <c r="A219" s="107"/>
      <c r="B219" s="108"/>
      <c r="C219" s="85" t="s">
        <v>532</v>
      </c>
      <c r="D219" s="85" t="s">
        <v>482</v>
      </c>
      <c r="E219" s="173"/>
    </row>
    <row r="220" spans="1:5" ht="15">
      <c r="A220" s="107"/>
      <c r="B220" s="108"/>
      <c r="C220" s="85" t="s">
        <v>327</v>
      </c>
      <c r="D220" s="85" t="s">
        <v>482</v>
      </c>
      <c r="E220" s="173"/>
    </row>
    <row r="221" spans="1:5" ht="15">
      <c r="A221" s="107"/>
      <c r="B221" s="108"/>
      <c r="C221" s="85" t="s">
        <v>478</v>
      </c>
      <c r="D221" s="85" t="s">
        <v>485</v>
      </c>
      <c r="E221" s="173"/>
    </row>
    <row r="222" spans="1:5" ht="15">
      <c r="A222" s="107"/>
      <c r="B222" s="108"/>
      <c r="C222" s="85" t="s">
        <v>479</v>
      </c>
      <c r="D222" s="85" t="s">
        <v>486</v>
      </c>
      <c r="E222" s="173"/>
    </row>
    <row r="223" spans="1:5" ht="15.75" thickBot="1">
      <c r="A223" s="107"/>
      <c r="B223" s="108"/>
      <c r="C223" s="85" t="s">
        <v>480</v>
      </c>
      <c r="D223" s="85" t="s">
        <v>487</v>
      </c>
      <c r="E223" s="173"/>
    </row>
    <row r="224" spans="1:5" ht="30.75" thickTop="1">
      <c r="A224" s="102" t="s">
        <v>347</v>
      </c>
      <c r="B224" s="102" t="s">
        <v>308</v>
      </c>
      <c r="C224" s="79" t="s">
        <v>500</v>
      </c>
      <c r="D224" s="79" t="s">
        <v>525</v>
      </c>
      <c r="E224" s="170" t="s">
        <v>33</v>
      </c>
    </row>
    <row r="225" spans="1:5" ht="15">
      <c r="A225" s="103"/>
      <c r="B225" s="103"/>
      <c r="C225" s="81" t="s">
        <v>520</v>
      </c>
      <c r="D225" s="81" t="s">
        <v>546</v>
      </c>
      <c r="E225" s="171"/>
    </row>
    <row r="226" spans="1:5" ht="15">
      <c r="A226" s="103"/>
      <c r="B226" s="115"/>
      <c r="C226" s="81" t="s">
        <v>364</v>
      </c>
      <c r="D226" s="81" t="s">
        <v>512</v>
      </c>
      <c r="E226" s="171"/>
    </row>
    <row r="227" spans="1:5" ht="15">
      <c r="A227" s="103"/>
      <c r="B227" s="104"/>
      <c r="C227" s="81" t="s">
        <v>311</v>
      </c>
      <c r="D227" s="81" t="s">
        <v>482</v>
      </c>
      <c r="E227" s="171"/>
    </row>
    <row r="228" spans="1:5" ht="15">
      <c r="A228" s="103"/>
      <c r="B228" s="104"/>
      <c r="C228" s="81" t="s">
        <v>595</v>
      </c>
      <c r="D228" s="81" t="s">
        <v>526</v>
      </c>
      <c r="E228" s="171"/>
    </row>
    <row r="229" spans="1:5" ht="15">
      <c r="A229" s="103"/>
      <c r="B229" s="104"/>
      <c r="C229" s="81" t="s">
        <v>477</v>
      </c>
      <c r="D229" s="81" t="s">
        <v>495</v>
      </c>
      <c r="E229" s="171"/>
    </row>
    <row r="230" spans="1:5" ht="15">
      <c r="A230" s="103"/>
      <c r="B230" s="104"/>
      <c r="C230" s="81" t="s">
        <v>478</v>
      </c>
      <c r="D230" s="81" t="s">
        <v>485</v>
      </c>
      <c r="E230" s="171"/>
    </row>
    <row r="231" spans="1:5" ht="15.75" thickBot="1">
      <c r="A231" s="103"/>
      <c r="B231" s="104"/>
      <c r="C231" s="81" t="s">
        <v>479</v>
      </c>
      <c r="D231" s="81" t="s">
        <v>486</v>
      </c>
      <c r="E231" s="171"/>
    </row>
    <row r="232" spans="1:5" ht="15.75" thickTop="1">
      <c r="A232" s="112" t="s">
        <v>348</v>
      </c>
      <c r="B232" s="112" t="s">
        <v>361</v>
      </c>
      <c r="C232" s="113" t="s">
        <v>500</v>
      </c>
      <c r="D232" s="113" t="s">
        <v>525</v>
      </c>
      <c r="E232" s="172" t="s">
        <v>34</v>
      </c>
    </row>
    <row r="233" spans="1:5" ht="15">
      <c r="A233" s="107"/>
      <c r="B233" s="107"/>
      <c r="C233" s="85" t="s">
        <v>3</v>
      </c>
      <c r="D233" s="85" t="s">
        <v>482</v>
      </c>
      <c r="E233" s="173"/>
    </row>
    <row r="234" spans="1:5" ht="15">
      <c r="A234" s="107"/>
      <c r="B234" s="114"/>
      <c r="C234" s="85" t="s">
        <v>364</v>
      </c>
      <c r="D234" s="85" t="s">
        <v>526</v>
      </c>
      <c r="E234" s="173"/>
    </row>
    <row r="235" spans="1:5" ht="15">
      <c r="A235" s="107"/>
      <c r="B235" s="108"/>
      <c r="C235" s="85" t="s">
        <v>477</v>
      </c>
      <c r="D235" s="85" t="s">
        <v>495</v>
      </c>
      <c r="E235" s="173"/>
    </row>
    <row r="236" spans="1:5" ht="15">
      <c r="A236" s="107"/>
      <c r="B236" s="108"/>
      <c r="C236" s="85" t="s">
        <v>582</v>
      </c>
      <c r="D236" s="85" t="s">
        <v>495</v>
      </c>
      <c r="E236" s="173"/>
    </row>
    <row r="237" spans="1:5" ht="15">
      <c r="A237" s="107"/>
      <c r="B237" s="108"/>
      <c r="C237" s="85" t="s">
        <v>478</v>
      </c>
      <c r="D237" s="85" t="s">
        <v>485</v>
      </c>
      <c r="E237" s="173"/>
    </row>
    <row r="238" spans="1:5" ht="15">
      <c r="A238" s="107"/>
      <c r="B238" s="108"/>
      <c r="C238" s="85" t="s">
        <v>479</v>
      </c>
      <c r="D238" s="85" t="s">
        <v>486</v>
      </c>
      <c r="E238" s="173"/>
    </row>
    <row r="239" spans="1:5" ht="15.75" thickBot="1">
      <c r="A239" s="107"/>
      <c r="B239" s="108"/>
      <c r="C239" s="85" t="s">
        <v>480</v>
      </c>
      <c r="D239" s="85" t="s">
        <v>487</v>
      </c>
      <c r="E239" s="173"/>
    </row>
    <row r="240" spans="1:5" ht="30.75" thickTop="1">
      <c r="A240" s="102" t="s">
        <v>349</v>
      </c>
      <c r="B240" s="102" t="s">
        <v>418</v>
      </c>
      <c r="C240" s="79" t="s">
        <v>500</v>
      </c>
      <c r="D240" s="79" t="s">
        <v>525</v>
      </c>
      <c r="E240" s="170" t="s">
        <v>35</v>
      </c>
    </row>
    <row r="241" spans="1:5" ht="15">
      <c r="A241" s="103"/>
      <c r="B241" s="103"/>
      <c r="C241" s="81" t="s">
        <v>307</v>
      </c>
      <c r="D241" s="81" t="s">
        <v>494</v>
      </c>
      <c r="E241" s="171"/>
    </row>
    <row r="242" spans="1:5" ht="15">
      <c r="A242" s="103"/>
      <c r="B242" s="104"/>
      <c r="C242" s="81" t="s">
        <v>364</v>
      </c>
      <c r="D242" s="81" t="s">
        <v>512</v>
      </c>
      <c r="E242" s="171"/>
    </row>
    <row r="243" spans="1:5" ht="15">
      <c r="A243" s="103"/>
      <c r="B243" s="104"/>
      <c r="C243" s="81" t="s">
        <v>477</v>
      </c>
      <c r="D243" s="81" t="s">
        <v>495</v>
      </c>
      <c r="E243" s="171"/>
    </row>
    <row r="244" spans="1:5" ht="15">
      <c r="A244" s="103"/>
      <c r="B244" s="104"/>
      <c r="C244" s="81" t="s">
        <v>582</v>
      </c>
      <c r="D244" s="81" t="s">
        <v>495</v>
      </c>
      <c r="E244" s="171"/>
    </row>
    <row r="245" spans="1:5" ht="15">
      <c r="A245" s="103"/>
      <c r="B245" s="104"/>
      <c r="C245" s="81" t="s">
        <v>478</v>
      </c>
      <c r="D245" s="81" t="s">
        <v>485</v>
      </c>
      <c r="E245" s="171"/>
    </row>
    <row r="246" spans="1:5" ht="15">
      <c r="A246" s="103"/>
      <c r="B246" s="104"/>
      <c r="C246" s="81" t="s">
        <v>479</v>
      </c>
      <c r="D246" s="81" t="s">
        <v>486</v>
      </c>
      <c r="E246" s="171"/>
    </row>
    <row r="247" spans="1:5" ht="15.75" thickBot="1">
      <c r="A247" s="103"/>
      <c r="B247" s="104"/>
      <c r="C247" s="81" t="s">
        <v>480</v>
      </c>
      <c r="D247" s="81" t="s">
        <v>487</v>
      </c>
      <c r="E247" s="171"/>
    </row>
    <row r="248" spans="1:5" ht="60.75" thickTop="1">
      <c r="A248" s="112" t="s">
        <v>350</v>
      </c>
      <c r="B248" s="112" t="s">
        <v>46</v>
      </c>
      <c r="C248" s="113" t="s">
        <v>580</v>
      </c>
      <c r="D248" s="113" t="s">
        <v>525</v>
      </c>
      <c r="E248" s="172" t="s">
        <v>37</v>
      </c>
    </row>
    <row r="249" spans="1:5" ht="15">
      <c r="A249" s="107"/>
      <c r="B249" s="107"/>
      <c r="C249" s="85" t="s">
        <v>311</v>
      </c>
      <c r="D249" s="85"/>
      <c r="E249" s="173"/>
    </row>
    <row r="250" spans="1:5" ht="15">
      <c r="A250" s="107"/>
      <c r="B250" s="114"/>
      <c r="C250" s="85" t="s">
        <v>36</v>
      </c>
      <c r="D250" s="85" t="s">
        <v>494</v>
      </c>
      <c r="E250" s="173"/>
    </row>
    <row r="251" spans="1:5" ht="15">
      <c r="A251" s="107"/>
      <c r="B251" s="108"/>
      <c r="C251" s="85" t="s">
        <v>423</v>
      </c>
      <c r="D251" s="85"/>
      <c r="E251" s="173"/>
    </row>
    <row r="252" spans="1:5" ht="15">
      <c r="A252" s="107"/>
      <c r="B252" s="108"/>
      <c r="C252" s="85" t="s">
        <v>364</v>
      </c>
      <c r="D252" s="85"/>
      <c r="E252" s="173"/>
    </row>
    <row r="253" spans="1:5" ht="15">
      <c r="A253" s="107"/>
      <c r="B253" s="108"/>
      <c r="C253" s="85" t="s">
        <v>477</v>
      </c>
      <c r="D253" s="85" t="s">
        <v>494</v>
      </c>
      <c r="E253" s="173"/>
    </row>
    <row r="254" spans="1:5" ht="15">
      <c r="A254" s="107"/>
      <c r="B254" s="108"/>
      <c r="C254" s="85" t="s">
        <v>582</v>
      </c>
      <c r="D254" s="85" t="s">
        <v>512</v>
      </c>
      <c r="E254" s="173"/>
    </row>
    <row r="255" spans="1:5" ht="15">
      <c r="A255" s="107"/>
      <c r="B255" s="108"/>
      <c r="C255" s="85" t="s">
        <v>478</v>
      </c>
      <c r="D255" s="85" t="s">
        <v>495</v>
      </c>
      <c r="E255" s="173"/>
    </row>
    <row r="256" spans="1:5" ht="15">
      <c r="A256" s="107"/>
      <c r="B256" s="108"/>
      <c r="C256" s="85"/>
      <c r="D256" s="85" t="s">
        <v>495</v>
      </c>
      <c r="E256" s="173"/>
    </row>
    <row r="257" spans="1:5" ht="15">
      <c r="A257" s="107"/>
      <c r="B257" s="108"/>
      <c r="C257" s="85" t="s">
        <v>479</v>
      </c>
      <c r="D257" s="85" t="s">
        <v>485</v>
      </c>
      <c r="E257" s="173"/>
    </row>
    <row r="258" spans="1:5" ht="15">
      <c r="A258" s="107"/>
      <c r="B258" s="108"/>
      <c r="C258" s="85" t="s">
        <v>480</v>
      </c>
      <c r="D258" s="85" t="s">
        <v>486</v>
      </c>
      <c r="E258" s="173"/>
    </row>
    <row r="259" spans="1:5" ht="15.75" thickBot="1">
      <c r="A259" s="107"/>
      <c r="B259" s="108"/>
      <c r="C259" s="108"/>
      <c r="D259" s="85" t="s">
        <v>487</v>
      </c>
      <c r="E259" s="173"/>
    </row>
    <row r="260" spans="1:5" ht="60.75" thickTop="1">
      <c r="A260" s="102" t="s">
        <v>351</v>
      </c>
      <c r="B260" s="102" t="s">
        <v>38</v>
      </c>
      <c r="C260" s="79" t="s">
        <v>580</v>
      </c>
      <c r="D260" s="79" t="s">
        <v>525</v>
      </c>
      <c r="E260" s="170" t="s">
        <v>39</v>
      </c>
    </row>
    <row r="261" spans="1:5" ht="15">
      <c r="A261" s="103"/>
      <c r="B261" s="103"/>
      <c r="C261" s="81" t="s">
        <v>311</v>
      </c>
      <c r="D261" s="81" t="s">
        <v>494</v>
      </c>
      <c r="E261" s="171"/>
    </row>
    <row r="262" spans="1:5" ht="15">
      <c r="A262" s="103"/>
      <c r="B262" s="104"/>
      <c r="C262" s="81" t="s">
        <v>36</v>
      </c>
      <c r="D262" s="81" t="s">
        <v>494</v>
      </c>
      <c r="E262" s="171"/>
    </row>
    <row r="263" spans="1:5" ht="15">
      <c r="A263" s="103"/>
      <c r="B263" s="104"/>
      <c r="C263" s="81" t="s">
        <v>423</v>
      </c>
      <c r="D263" s="81" t="s">
        <v>512</v>
      </c>
      <c r="E263" s="171"/>
    </row>
    <row r="264" spans="1:5" ht="15">
      <c r="A264" s="103"/>
      <c r="B264" s="104"/>
      <c r="C264" s="81" t="s">
        <v>364</v>
      </c>
      <c r="D264" s="81" t="s">
        <v>495</v>
      </c>
      <c r="E264" s="171"/>
    </row>
    <row r="265" spans="1:5" ht="15">
      <c r="A265" s="103"/>
      <c r="B265" s="104"/>
      <c r="C265" s="81" t="s">
        <v>477</v>
      </c>
      <c r="D265" s="81" t="s">
        <v>495</v>
      </c>
      <c r="E265" s="171"/>
    </row>
    <row r="266" spans="1:5" ht="15">
      <c r="A266" s="103"/>
      <c r="B266" s="104"/>
      <c r="C266" s="81" t="s">
        <v>582</v>
      </c>
      <c r="D266" s="81" t="s">
        <v>485</v>
      </c>
      <c r="E266" s="171"/>
    </row>
    <row r="267" spans="1:5" ht="15">
      <c r="A267" s="103"/>
      <c r="B267" s="104"/>
      <c r="C267" s="81" t="s">
        <v>478</v>
      </c>
      <c r="D267" s="81" t="s">
        <v>486</v>
      </c>
      <c r="E267" s="171"/>
    </row>
    <row r="268" spans="1:5" ht="15">
      <c r="A268" s="103"/>
      <c r="B268" s="104"/>
      <c r="C268" s="81" t="s">
        <v>479</v>
      </c>
      <c r="D268" s="81" t="s">
        <v>487</v>
      </c>
      <c r="E268" s="171"/>
    </row>
    <row r="269" spans="1:5" ht="15.75" thickBot="1">
      <c r="A269" s="103"/>
      <c r="B269" s="104"/>
      <c r="C269" s="81" t="s">
        <v>480</v>
      </c>
      <c r="D269" s="104"/>
      <c r="E269" s="171"/>
    </row>
    <row r="270" spans="1:5" ht="15.75" thickTop="1">
      <c r="A270" s="112" t="s">
        <v>352</v>
      </c>
      <c r="B270" s="112" t="s">
        <v>40</v>
      </c>
      <c r="C270" s="113" t="s">
        <v>22</v>
      </c>
      <c r="D270" s="113" t="s">
        <v>482</v>
      </c>
      <c r="E270" s="172" t="s">
        <v>41</v>
      </c>
    </row>
    <row r="271" spans="1:5" ht="15">
      <c r="A271" s="107"/>
      <c r="B271" s="107"/>
      <c r="C271" s="85" t="s">
        <v>311</v>
      </c>
      <c r="D271" s="85" t="s">
        <v>482</v>
      </c>
      <c r="E271" s="173"/>
    </row>
    <row r="272" spans="1:5" ht="15">
      <c r="A272" s="107"/>
      <c r="B272" s="108"/>
      <c r="C272" s="85" t="s">
        <v>580</v>
      </c>
      <c r="D272" s="85" t="s">
        <v>482</v>
      </c>
      <c r="E272" s="173"/>
    </row>
    <row r="273" spans="1:5" ht="15">
      <c r="A273" s="107"/>
      <c r="B273" s="108"/>
      <c r="C273" s="85" t="s">
        <v>500</v>
      </c>
      <c r="D273" s="85" t="s">
        <v>526</v>
      </c>
      <c r="E273" s="173"/>
    </row>
    <row r="274" spans="1:5" ht="15">
      <c r="A274" s="107"/>
      <c r="B274" s="108"/>
      <c r="C274" s="85" t="s">
        <v>364</v>
      </c>
      <c r="D274" s="85" t="s">
        <v>526</v>
      </c>
      <c r="E274" s="173"/>
    </row>
    <row r="275" spans="1:5" ht="15">
      <c r="A275" s="107"/>
      <c r="B275" s="108"/>
      <c r="C275" s="85" t="s">
        <v>477</v>
      </c>
      <c r="D275" s="85" t="s">
        <v>495</v>
      </c>
      <c r="E275" s="173"/>
    </row>
    <row r="276" spans="1:5" ht="15">
      <c r="A276" s="107"/>
      <c r="B276" s="108"/>
      <c r="C276" s="85" t="s">
        <v>478</v>
      </c>
      <c r="D276" s="85" t="s">
        <v>485</v>
      </c>
      <c r="E276" s="173"/>
    </row>
    <row r="277" spans="1:5" ht="15">
      <c r="A277" s="107"/>
      <c r="B277" s="108"/>
      <c r="C277" s="85" t="s">
        <v>479</v>
      </c>
      <c r="D277" s="85" t="s">
        <v>486</v>
      </c>
      <c r="E277" s="173"/>
    </row>
    <row r="278" spans="1:5" ht="15.75" thickBot="1">
      <c r="A278" s="107"/>
      <c r="B278" s="108"/>
      <c r="C278" s="85" t="s">
        <v>480</v>
      </c>
      <c r="D278" s="85" t="s">
        <v>487</v>
      </c>
      <c r="E278" s="173"/>
    </row>
    <row r="279" spans="1:5" ht="29.25" customHeight="1" thickTop="1">
      <c r="A279" s="102" t="s">
        <v>353</v>
      </c>
      <c r="B279" s="102" t="s">
        <v>362</v>
      </c>
      <c r="C279" s="79" t="s">
        <v>500</v>
      </c>
      <c r="D279" s="79" t="s">
        <v>525</v>
      </c>
      <c r="E279" s="170" t="s">
        <v>41</v>
      </c>
    </row>
    <row r="280" spans="1:5" ht="15">
      <c r="A280" s="103"/>
      <c r="B280" s="103"/>
      <c r="C280" s="81" t="s">
        <v>307</v>
      </c>
      <c r="D280" s="81" t="s">
        <v>494</v>
      </c>
      <c r="E280" s="171"/>
    </row>
    <row r="281" spans="1:5" ht="15">
      <c r="A281" s="103"/>
      <c r="B281" s="104"/>
      <c r="C281" s="81" t="s">
        <v>299</v>
      </c>
      <c r="D281" s="81" t="s">
        <v>482</v>
      </c>
      <c r="E281" s="171"/>
    </row>
    <row r="282" spans="1:5" ht="15">
      <c r="A282" s="103"/>
      <c r="B282" s="104"/>
      <c r="C282" s="81" t="s">
        <v>477</v>
      </c>
      <c r="D282" s="81" t="s">
        <v>526</v>
      </c>
      <c r="E282" s="171"/>
    </row>
    <row r="283" spans="1:5" ht="15">
      <c r="A283" s="103"/>
      <c r="B283" s="104"/>
      <c r="C283" s="81" t="s">
        <v>364</v>
      </c>
      <c r="D283" s="81" t="s">
        <v>495</v>
      </c>
      <c r="E283" s="171"/>
    </row>
    <row r="284" spans="1:5" ht="15">
      <c r="A284" s="103"/>
      <c r="B284" s="104"/>
      <c r="C284" s="81" t="s">
        <v>478</v>
      </c>
      <c r="D284" s="81" t="s">
        <v>485</v>
      </c>
      <c r="E284" s="171"/>
    </row>
    <row r="285" spans="1:5" ht="15">
      <c r="A285" s="103"/>
      <c r="B285" s="104"/>
      <c r="C285" s="81" t="s">
        <v>479</v>
      </c>
      <c r="D285" s="81" t="s">
        <v>486</v>
      </c>
      <c r="E285" s="171"/>
    </row>
    <row r="286" spans="1:5" ht="15.75" thickBot="1">
      <c r="A286" s="103"/>
      <c r="B286" s="104"/>
      <c r="C286" s="81" t="s">
        <v>480</v>
      </c>
      <c r="D286" s="81" t="s">
        <v>487</v>
      </c>
      <c r="E286" s="171"/>
    </row>
    <row r="287" spans="1:5" ht="26.25" customHeight="1" thickTop="1">
      <c r="A287" s="112" t="s">
        <v>354</v>
      </c>
      <c r="B287" s="112" t="s">
        <v>42</v>
      </c>
      <c r="C287" s="113" t="s">
        <v>500</v>
      </c>
      <c r="D287" s="113" t="s">
        <v>525</v>
      </c>
      <c r="E287" s="116" t="s">
        <v>43</v>
      </c>
    </row>
    <row r="288" spans="1:5" ht="60">
      <c r="A288" s="107"/>
      <c r="B288" s="107"/>
      <c r="C288" s="85" t="s">
        <v>593</v>
      </c>
      <c r="D288" s="85" t="s">
        <v>482</v>
      </c>
      <c r="E288" s="117" t="s">
        <v>44</v>
      </c>
    </row>
    <row r="289" spans="1:5" ht="15">
      <c r="A289" s="107"/>
      <c r="B289" s="108"/>
      <c r="C289" s="85" t="s">
        <v>22</v>
      </c>
      <c r="D289" s="85" t="s">
        <v>8</v>
      </c>
      <c r="E289" s="108"/>
    </row>
    <row r="290" spans="1:5" ht="15">
      <c r="A290" s="107"/>
      <c r="B290" s="108"/>
      <c r="C290" s="85" t="s">
        <v>520</v>
      </c>
      <c r="D290" s="85" t="s">
        <v>483</v>
      </c>
      <c r="E290" s="108"/>
    </row>
    <row r="291" spans="1:5" ht="15">
      <c r="A291" s="107"/>
      <c r="B291" s="108"/>
      <c r="C291" s="85" t="s">
        <v>582</v>
      </c>
      <c r="D291" s="85" t="s">
        <v>495</v>
      </c>
      <c r="E291" s="108"/>
    </row>
    <row r="292" spans="1:5" ht="15">
      <c r="A292" s="107"/>
      <c r="B292" s="108"/>
      <c r="C292" s="85" t="s">
        <v>477</v>
      </c>
      <c r="D292" s="85" t="s">
        <v>495</v>
      </c>
      <c r="E292" s="108"/>
    </row>
    <row r="293" spans="1:5" ht="15">
      <c r="A293" s="107"/>
      <c r="B293" s="108"/>
      <c r="C293" s="85" t="s">
        <v>478</v>
      </c>
      <c r="D293" s="85" t="s">
        <v>485</v>
      </c>
      <c r="E293" s="108"/>
    </row>
    <row r="294" spans="1:5" ht="15">
      <c r="A294" s="107"/>
      <c r="B294" s="108"/>
      <c r="C294" s="85" t="s">
        <v>479</v>
      </c>
      <c r="D294" s="85" t="s">
        <v>486</v>
      </c>
      <c r="E294" s="108"/>
    </row>
    <row r="295" spans="1:5" ht="15.75" thickBot="1">
      <c r="A295" s="107"/>
      <c r="B295" s="108"/>
      <c r="C295" s="85" t="s">
        <v>480</v>
      </c>
      <c r="D295" s="85" t="s">
        <v>487</v>
      </c>
      <c r="E295" s="108"/>
    </row>
    <row r="296" spans="1:5" ht="30.75" thickTop="1">
      <c r="A296" s="102" t="s">
        <v>355</v>
      </c>
      <c r="B296" s="102" t="s">
        <v>45</v>
      </c>
      <c r="C296" s="79" t="s">
        <v>500</v>
      </c>
      <c r="D296" s="79" t="s">
        <v>525</v>
      </c>
      <c r="E296" s="170" t="s">
        <v>33</v>
      </c>
    </row>
    <row r="297" spans="1:5" ht="15">
      <c r="A297" s="103"/>
      <c r="B297" s="103"/>
      <c r="C297" s="81" t="s">
        <v>520</v>
      </c>
      <c r="D297" s="81" t="s">
        <v>546</v>
      </c>
      <c r="E297" s="171"/>
    </row>
    <row r="298" spans="1:5" ht="15">
      <c r="A298" s="103"/>
      <c r="B298" s="115"/>
      <c r="C298" s="81" t="s">
        <v>3</v>
      </c>
      <c r="D298" s="81" t="s">
        <v>512</v>
      </c>
      <c r="E298" s="171"/>
    </row>
    <row r="299" spans="1:5" ht="15">
      <c r="A299" s="103"/>
      <c r="B299" s="104"/>
      <c r="C299" s="81" t="s">
        <v>311</v>
      </c>
      <c r="D299" s="81" t="s">
        <v>482</v>
      </c>
      <c r="E299" s="171"/>
    </row>
    <row r="300" spans="1:5" ht="15">
      <c r="A300" s="103"/>
      <c r="B300" s="104"/>
      <c r="C300" s="81" t="s">
        <v>595</v>
      </c>
      <c r="D300" s="81" t="s">
        <v>526</v>
      </c>
      <c r="E300" s="171"/>
    </row>
    <row r="301" spans="1:5" ht="15">
      <c r="A301" s="103"/>
      <c r="B301" s="104"/>
      <c r="C301" s="81" t="s">
        <v>477</v>
      </c>
      <c r="D301" s="81" t="s">
        <v>495</v>
      </c>
      <c r="E301" s="171"/>
    </row>
    <row r="302" spans="1:5" ht="15">
      <c r="A302" s="103"/>
      <c r="B302" s="104"/>
      <c r="C302" s="81" t="s">
        <v>478</v>
      </c>
      <c r="D302" s="81" t="s">
        <v>485</v>
      </c>
      <c r="E302" s="171"/>
    </row>
    <row r="303" spans="1:5" ht="15.75" thickBot="1">
      <c r="A303" s="103"/>
      <c r="B303" s="104"/>
      <c r="C303" s="81" t="s">
        <v>479</v>
      </c>
      <c r="D303" s="81" t="s">
        <v>486</v>
      </c>
      <c r="E303" s="171"/>
    </row>
    <row r="304" spans="1:5" ht="45.75" thickTop="1">
      <c r="A304" s="112" t="s">
        <v>839</v>
      </c>
      <c r="B304" s="112" t="s">
        <v>840</v>
      </c>
      <c r="C304" s="113" t="s">
        <v>500</v>
      </c>
      <c r="D304" s="113" t="s">
        <v>525</v>
      </c>
      <c r="E304" s="116" t="s">
        <v>841</v>
      </c>
    </row>
    <row r="305" spans="1:5" ht="15">
      <c r="A305" s="107"/>
      <c r="B305" s="107"/>
      <c r="C305" s="85" t="s">
        <v>364</v>
      </c>
      <c r="D305" s="85" t="s">
        <v>526</v>
      </c>
      <c r="E305" s="85"/>
    </row>
    <row r="306" spans="1:5" ht="15">
      <c r="A306" s="107"/>
      <c r="B306" s="107"/>
      <c r="C306" s="85" t="s">
        <v>327</v>
      </c>
      <c r="D306" s="85" t="s">
        <v>482</v>
      </c>
      <c r="E306" s="85"/>
    </row>
    <row r="307" spans="1:5" ht="15">
      <c r="A307" s="107"/>
      <c r="B307" s="107"/>
      <c r="C307" s="85" t="s">
        <v>582</v>
      </c>
      <c r="D307" s="85" t="s">
        <v>495</v>
      </c>
      <c r="E307" s="85"/>
    </row>
    <row r="308" spans="1:5" ht="15">
      <c r="A308" s="107"/>
      <c r="B308" s="107"/>
      <c r="C308" s="85" t="s">
        <v>477</v>
      </c>
      <c r="D308" s="85" t="s">
        <v>484</v>
      </c>
      <c r="E308" s="85"/>
    </row>
    <row r="309" spans="1:5" ht="15">
      <c r="A309" s="118"/>
      <c r="B309" s="118"/>
      <c r="C309" s="85" t="s">
        <v>478</v>
      </c>
      <c r="D309" s="85" t="s">
        <v>485</v>
      </c>
      <c r="E309" s="85"/>
    </row>
    <row r="310" spans="1:5" ht="15">
      <c r="A310" s="118"/>
      <c r="B310" s="118"/>
      <c r="C310" s="85" t="s">
        <v>479</v>
      </c>
      <c r="D310" s="85" t="s">
        <v>667</v>
      </c>
      <c r="E310" s="85"/>
    </row>
    <row r="311" spans="1:5" ht="15.75" thickBot="1">
      <c r="A311" s="118"/>
      <c r="B311" s="118"/>
      <c r="C311" s="85" t="s">
        <v>480</v>
      </c>
      <c r="D311" s="85" t="s">
        <v>487</v>
      </c>
      <c r="E311" s="85"/>
    </row>
    <row r="312" spans="1:5" ht="60.75" thickTop="1">
      <c r="A312" s="102" t="s">
        <v>842</v>
      </c>
      <c r="B312" s="102" t="s">
        <v>843</v>
      </c>
      <c r="C312" s="79" t="s">
        <v>14</v>
      </c>
      <c r="D312" s="79">
        <v>50</v>
      </c>
      <c r="E312" s="96" t="s">
        <v>844</v>
      </c>
    </row>
    <row r="313" spans="1:5" ht="15">
      <c r="A313" s="81"/>
      <c r="B313" s="81"/>
      <c r="C313" s="81" t="s">
        <v>500</v>
      </c>
      <c r="D313" s="81">
        <v>60</v>
      </c>
      <c r="E313" s="81"/>
    </row>
    <row r="314" spans="1:5" ht="15">
      <c r="A314" s="81"/>
      <c r="B314" s="81"/>
      <c r="C314" s="81" t="s">
        <v>364</v>
      </c>
      <c r="D314" s="81">
        <v>45</v>
      </c>
      <c r="E314" s="81"/>
    </row>
    <row r="315" spans="1:5" ht="15">
      <c r="A315" s="81"/>
      <c r="B315" s="81"/>
      <c r="C315" s="81" t="s">
        <v>477</v>
      </c>
      <c r="D315" s="81">
        <v>25</v>
      </c>
      <c r="E315" s="81"/>
    </row>
    <row r="316" spans="1:5" ht="15">
      <c r="A316" s="81"/>
      <c r="B316" s="81"/>
      <c r="C316" s="81" t="s">
        <v>478</v>
      </c>
      <c r="D316" s="81">
        <v>3</v>
      </c>
      <c r="E316" s="81"/>
    </row>
    <row r="317" spans="1:5" ht="15">
      <c r="A317" s="81"/>
      <c r="B317" s="81"/>
      <c r="C317" s="81" t="s">
        <v>479</v>
      </c>
      <c r="D317" s="81">
        <v>0.1</v>
      </c>
      <c r="E317" s="81"/>
    </row>
    <row r="318" spans="1:5" ht="15.75" thickBot="1">
      <c r="A318" s="81"/>
      <c r="B318" s="81"/>
      <c r="C318" s="81" t="s">
        <v>480</v>
      </c>
      <c r="D318" s="81" t="s">
        <v>487</v>
      </c>
      <c r="E318" s="81"/>
    </row>
    <row r="319" spans="1:5" ht="45.75" thickTop="1">
      <c r="A319" s="112" t="s">
        <v>845</v>
      </c>
      <c r="B319" s="112" t="s">
        <v>227</v>
      </c>
      <c r="C319" s="113" t="s">
        <v>311</v>
      </c>
      <c r="D319" s="113">
        <v>40</v>
      </c>
      <c r="E319" s="113" t="s">
        <v>841</v>
      </c>
    </row>
    <row r="320" spans="1:5" ht="15">
      <c r="A320" s="118"/>
      <c r="B320" s="51"/>
      <c r="C320" s="85" t="s">
        <v>846</v>
      </c>
      <c r="D320" s="85">
        <v>40</v>
      </c>
      <c r="E320" s="85"/>
    </row>
    <row r="321" spans="1:5" ht="15">
      <c r="A321" s="118"/>
      <c r="B321" s="51"/>
      <c r="C321" s="85" t="s">
        <v>500</v>
      </c>
      <c r="D321" s="85">
        <v>60</v>
      </c>
      <c r="E321" s="85"/>
    </row>
    <row r="322" spans="1:5" ht="15">
      <c r="A322" s="118"/>
      <c r="B322" s="51"/>
      <c r="C322" s="85" t="s">
        <v>364</v>
      </c>
      <c r="D322" s="85">
        <v>30</v>
      </c>
      <c r="E322" s="85"/>
    </row>
    <row r="323" spans="1:5" ht="15">
      <c r="A323" s="118"/>
      <c r="B323" s="51"/>
      <c r="C323" s="85" t="s">
        <v>582</v>
      </c>
      <c r="D323" s="85">
        <v>20</v>
      </c>
      <c r="E323" s="85"/>
    </row>
    <row r="324" spans="1:5" ht="15">
      <c r="A324" s="118"/>
      <c r="B324" s="51"/>
      <c r="C324" s="85" t="s">
        <v>836</v>
      </c>
      <c r="D324" s="85">
        <v>40</v>
      </c>
      <c r="E324" s="85"/>
    </row>
    <row r="325" spans="1:5" ht="15">
      <c r="A325" s="118"/>
      <c r="B325" s="51"/>
      <c r="C325" s="85" t="s">
        <v>520</v>
      </c>
      <c r="D325" s="85">
        <v>35</v>
      </c>
      <c r="E325" s="85"/>
    </row>
    <row r="326" spans="1:5" ht="15">
      <c r="A326" s="118"/>
      <c r="B326" s="51"/>
      <c r="C326" s="85" t="s">
        <v>847</v>
      </c>
      <c r="D326" s="85">
        <v>20</v>
      </c>
      <c r="E326" s="85"/>
    </row>
    <row r="327" spans="1:5" ht="15">
      <c r="A327" s="118"/>
      <c r="B327" s="51"/>
      <c r="C327" s="85" t="s">
        <v>478</v>
      </c>
      <c r="D327" s="85">
        <v>3</v>
      </c>
      <c r="E327" s="85"/>
    </row>
    <row r="328" spans="1:5" ht="15.75" thickBot="1">
      <c r="A328" s="118"/>
      <c r="B328" s="51"/>
      <c r="C328" s="85" t="s">
        <v>479</v>
      </c>
      <c r="D328" s="85">
        <v>0.1</v>
      </c>
      <c r="E328" s="85"/>
    </row>
    <row r="329" spans="1:5" ht="90.75" thickTop="1">
      <c r="A329" s="102" t="s">
        <v>848</v>
      </c>
      <c r="B329" s="102" t="s">
        <v>849</v>
      </c>
      <c r="C329" s="79" t="s">
        <v>500</v>
      </c>
      <c r="D329" s="79">
        <v>60</v>
      </c>
      <c r="E329" s="96" t="s">
        <v>850</v>
      </c>
    </row>
    <row r="330" spans="1:5" ht="15">
      <c r="A330" s="81"/>
      <c r="B330" s="81"/>
      <c r="C330" s="81" t="s">
        <v>582</v>
      </c>
      <c r="D330" s="81">
        <v>20</v>
      </c>
      <c r="E330" s="81"/>
    </row>
    <row r="331" spans="1:5" ht="15">
      <c r="A331" s="81"/>
      <c r="B331" s="81"/>
      <c r="C331" s="81" t="s">
        <v>488</v>
      </c>
      <c r="D331" s="81">
        <v>40</v>
      </c>
      <c r="E331" s="81"/>
    </row>
    <row r="332" spans="1:5" ht="15">
      <c r="A332" s="81"/>
      <c r="B332" s="81"/>
      <c r="C332" s="81" t="s">
        <v>364</v>
      </c>
      <c r="D332" s="81">
        <v>30</v>
      </c>
      <c r="E332" s="81"/>
    </row>
    <row r="333" spans="1:5" ht="15">
      <c r="A333" s="81"/>
      <c r="B333" s="81"/>
      <c r="C333" s="81" t="s">
        <v>477</v>
      </c>
      <c r="D333" s="81">
        <v>25</v>
      </c>
      <c r="E333" s="81"/>
    </row>
    <row r="334" spans="1:5" ht="15">
      <c r="A334" s="81"/>
      <c r="B334" s="81"/>
      <c r="C334" s="81" t="s">
        <v>478</v>
      </c>
      <c r="D334" s="81">
        <v>3</v>
      </c>
      <c r="E334" s="81"/>
    </row>
    <row r="335" spans="1:5" ht="15.75" thickBot="1">
      <c r="A335" s="81"/>
      <c r="B335" s="81"/>
      <c r="C335" s="81" t="s">
        <v>479</v>
      </c>
      <c r="D335" s="81">
        <v>0.1</v>
      </c>
      <c r="E335" s="81"/>
    </row>
    <row r="336" spans="1:5" ht="60.75" thickTop="1">
      <c r="A336" s="112" t="s">
        <v>851</v>
      </c>
      <c r="B336" s="112" t="s">
        <v>852</v>
      </c>
      <c r="C336" s="113" t="s">
        <v>580</v>
      </c>
      <c r="D336" s="113">
        <v>60</v>
      </c>
      <c r="E336" s="113" t="s">
        <v>853</v>
      </c>
    </row>
    <row r="337" spans="1:5" ht="15">
      <c r="C337" s="85" t="s">
        <v>500</v>
      </c>
      <c r="D337" s="85">
        <v>60</v>
      </c>
      <c r="E337" s="85"/>
    </row>
    <row r="338" spans="1:5" ht="15">
      <c r="C338" s="85" t="s">
        <v>364</v>
      </c>
      <c r="D338" s="85">
        <v>45</v>
      </c>
      <c r="E338" s="85"/>
    </row>
    <row r="339" spans="1:5" ht="15">
      <c r="C339" s="85" t="s">
        <v>854</v>
      </c>
      <c r="D339" s="85">
        <v>40</v>
      </c>
      <c r="E339" s="85"/>
    </row>
    <row r="340" spans="1:5" ht="15">
      <c r="C340" s="85" t="s">
        <v>477</v>
      </c>
      <c r="D340" s="85">
        <v>25</v>
      </c>
      <c r="E340" s="85"/>
    </row>
    <row r="341" spans="1:5" ht="15">
      <c r="C341" s="85" t="s">
        <v>478</v>
      </c>
      <c r="D341" s="85">
        <v>3</v>
      </c>
      <c r="E341" s="85"/>
    </row>
    <row r="342" spans="1:5" ht="15">
      <c r="C342" s="85" t="s">
        <v>479</v>
      </c>
      <c r="D342" s="85">
        <v>0.1</v>
      </c>
      <c r="E342" s="85"/>
    </row>
    <row r="343" spans="1:5" ht="15.75" thickBot="1">
      <c r="C343" s="85" t="s">
        <v>480</v>
      </c>
      <c r="D343" s="85" t="s">
        <v>487</v>
      </c>
      <c r="E343" s="85"/>
    </row>
    <row r="344" spans="1:5" ht="75.75" thickTop="1">
      <c r="A344" s="102" t="s">
        <v>855</v>
      </c>
      <c r="B344" s="102" t="s">
        <v>238</v>
      </c>
      <c r="C344" s="79" t="s">
        <v>439</v>
      </c>
      <c r="D344" s="79">
        <v>40</v>
      </c>
      <c r="E344" s="79" t="s">
        <v>856</v>
      </c>
    </row>
    <row r="345" spans="1:5" ht="15">
      <c r="A345" s="81"/>
      <c r="B345" s="81"/>
      <c r="C345" s="81" t="s">
        <v>500</v>
      </c>
      <c r="D345" s="81">
        <v>60</v>
      </c>
      <c r="E345" s="81"/>
    </row>
    <row r="346" spans="1:5" ht="15">
      <c r="A346" s="81"/>
      <c r="B346" s="81"/>
      <c r="C346" s="81" t="s">
        <v>477</v>
      </c>
      <c r="D346" s="81">
        <v>25</v>
      </c>
      <c r="E346" s="81"/>
    </row>
    <row r="347" spans="1:5" ht="15">
      <c r="A347" s="81"/>
      <c r="B347" s="81"/>
      <c r="C347" s="81" t="s">
        <v>360</v>
      </c>
      <c r="D347" s="81">
        <v>40</v>
      </c>
      <c r="E347" s="81"/>
    </row>
    <row r="348" spans="1:5" ht="15">
      <c r="A348" s="81"/>
      <c r="B348" s="81"/>
      <c r="C348" s="81" t="s">
        <v>364</v>
      </c>
      <c r="D348" s="81">
        <v>45</v>
      </c>
      <c r="E348" s="81"/>
    </row>
    <row r="349" spans="1:5" ht="15">
      <c r="A349" s="81"/>
      <c r="B349" s="81"/>
      <c r="C349" s="81" t="s">
        <v>478</v>
      </c>
      <c r="D349" s="81">
        <v>3</v>
      </c>
      <c r="E349" s="81"/>
    </row>
    <row r="350" spans="1:5" ht="15">
      <c r="A350" s="81"/>
      <c r="B350" s="81"/>
      <c r="C350" s="81" t="s">
        <v>480</v>
      </c>
      <c r="D350" s="81" t="s">
        <v>487</v>
      </c>
      <c r="E350" s="81"/>
    </row>
    <row r="351" spans="1:5" ht="15.75" thickBot="1">
      <c r="A351" s="81"/>
      <c r="B351" s="81"/>
      <c r="C351" s="81" t="s">
        <v>479</v>
      </c>
      <c r="D351" s="81">
        <v>0.1</v>
      </c>
      <c r="E351" s="81"/>
    </row>
    <row r="352" spans="1:5" ht="60.75" thickTop="1">
      <c r="A352" s="112" t="s">
        <v>857</v>
      </c>
      <c r="B352" s="112" t="s">
        <v>858</v>
      </c>
      <c r="C352" s="113" t="s">
        <v>500</v>
      </c>
      <c r="D352" s="113">
        <v>60</v>
      </c>
      <c r="E352" s="113" t="s">
        <v>20</v>
      </c>
    </row>
    <row r="353" spans="1:5" ht="15">
      <c r="C353" s="85" t="s">
        <v>22</v>
      </c>
      <c r="D353" s="85">
        <v>40</v>
      </c>
      <c r="E353" s="85"/>
    </row>
    <row r="354" spans="1:5" ht="15">
      <c r="C354" s="85" t="s">
        <v>364</v>
      </c>
      <c r="D354" s="85">
        <v>45</v>
      </c>
      <c r="E354" s="85"/>
    </row>
    <row r="355" spans="1:5" ht="15">
      <c r="C355" s="85" t="s">
        <v>477</v>
      </c>
      <c r="D355" s="85">
        <v>25</v>
      </c>
      <c r="E355" s="85"/>
    </row>
    <row r="356" spans="1:5" ht="15">
      <c r="C356" s="85" t="s">
        <v>478</v>
      </c>
      <c r="D356" s="85">
        <v>3</v>
      </c>
      <c r="E356" s="85"/>
    </row>
    <row r="357" spans="1:5" ht="15">
      <c r="C357" s="85" t="s">
        <v>479</v>
      </c>
      <c r="D357" s="85">
        <v>0.1</v>
      </c>
      <c r="E357" s="85"/>
    </row>
    <row r="358" spans="1:5" ht="15.75" thickBot="1">
      <c r="C358" s="85" t="s">
        <v>480</v>
      </c>
      <c r="D358" s="85" t="s">
        <v>487</v>
      </c>
      <c r="E358" s="85"/>
    </row>
    <row r="359" spans="1:5" ht="60.75" thickTop="1">
      <c r="A359" s="102" t="s">
        <v>859</v>
      </c>
      <c r="B359" s="102" t="s">
        <v>860</v>
      </c>
      <c r="C359" s="79" t="s">
        <v>500</v>
      </c>
      <c r="D359" s="79">
        <v>60</v>
      </c>
      <c r="E359" s="79" t="s">
        <v>861</v>
      </c>
    </row>
    <row r="360" spans="1:5" ht="15">
      <c r="A360" s="81"/>
      <c r="B360" s="81"/>
      <c r="C360" s="81" t="s">
        <v>862</v>
      </c>
      <c r="D360" s="81">
        <v>40</v>
      </c>
      <c r="E360" s="81"/>
    </row>
    <row r="361" spans="1:5" ht="15">
      <c r="A361" s="81"/>
      <c r="B361" s="81"/>
      <c r="C361" s="81" t="s">
        <v>364</v>
      </c>
      <c r="D361" s="81">
        <v>30</v>
      </c>
      <c r="E361" s="81"/>
    </row>
    <row r="362" spans="1:5" ht="15">
      <c r="A362" s="81"/>
      <c r="B362" s="81"/>
      <c r="C362" s="81" t="s">
        <v>477</v>
      </c>
      <c r="D362" s="81">
        <v>25</v>
      </c>
      <c r="E362" s="81"/>
    </row>
    <row r="363" spans="1:5" ht="15">
      <c r="A363" s="81"/>
      <c r="B363" s="81"/>
      <c r="C363" s="81" t="s">
        <v>582</v>
      </c>
      <c r="D363" s="81">
        <v>20</v>
      </c>
      <c r="E363" s="81"/>
    </row>
    <row r="364" spans="1:5" ht="15">
      <c r="A364" s="81"/>
      <c r="B364" s="81"/>
      <c r="C364" s="81" t="s">
        <v>478</v>
      </c>
      <c r="D364" s="81">
        <v>3</v>
      </c>
      <c r="E364" s="81"/>
    </row>
    <row r="365" spans="1:5" ht="15">
      <c r="A365" s="81"/>
      <c r="B365" s="81"/>
      <c r="C365" s="81" t="s">
        <v>479</v>
      </c>
      <c r="D365" s="81">
        <v>0.1</v>
      </c>
      <c r="E365" s="81"/>
    </row>
    <row r="366" spans="1:5" ht="15">
      <c r="A366" s="81"/>
      <c r="B366" s="81"/>
      <c r="C366" s="81" t="s">
        <v>480</v>
      </c>
      <c r="D366" s="81" t="s">
        <v>487</v>
      </c>
      <c r="E366" s="81"/>
    </row>
  </sheetData>
  <mergeCells count="35">
    <mergeCell ref="A6:E6"/>
    <mergeCell ref="E9:E16"/>
    <mergeCell ref="E17:E25"/>
    <mergeCell ref="E26:E35"/>
    <mergeCell ref="E69:E79"/>
    <mergeCell ref="E80:E88"/>
    <mergeCell ref="E89:E96"/>
    <mergeCell ref="E97:E104"/>
    <mergeCell ref="E36:E44"/>
    <mergeCell ref="E45:E51"/>
    <mergeCell ref="E52:E59"/>
    <mergeCell ref="E60:E68"/>
    <mergeCell ref="E137:E145"/>
    <mergeCell ref="E146:E153"/>
    <mergeCell ref="E154:E161"/>
    <mergeCell ref="E162:E170"/>
    <mergeCell ref="E105:E111"/>
    <mergeCell ref="E112:E120"/>
    <mergeCell ref="E121:E128"/>
    <mergeCell ref="E129:E136"/>
    <mergeCell ref="E201:E207"/>
    <mergeCell ref="E208:E216"/>
    <mergeCell ref="E217:E223"/>
    <mergeCell ref="E224:E231"/>
    <mergeCell ref="E171:E177"/>
    <mergeCell ref="E178:E185"/>
    <mergeCell ref="E186:E192"/>
    <mergeCell ref="E193:E200"/>
    <mergeCell ref="E270:E278"/>
    <mergeCell ref="E279:E286"/>
    <mergeCell ref="E296:E303"/>
    <mergeCell ref="E232:E239"/>
    <mergeCell ref="E240:E247"/>
    <mergeCell ref="E248:E259"/>
    <mergeCell ref="E260:E269"/>
  </mergeCells>
  <phoneticPr fontId="9" type="noConversion"/>
  <pageMargins left="0.74803149606299213" right="0.74803149606299213" top="0" bottom="0" header="0" footer="0"/>
  <pageSetup scale="77" fitToHeight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114"/>
  <sheetViews>
    <sheetView showGridLines="0" zoomScale="130" zoomScaleNormal="130" workbookViewId="0">
      <selection sqref="A1:XFD1048576"/>
    </sheetView>
  </sheetViews>
  <sheetFormatPr defaultRowHeight="12.75"/>
  <cols>
    <col min="1" max="1" width="11.140625" customWidth="1"/>
    <col min="2" max="2" width="39.5703125" customWidth="1"/>
    <col min="3" max="3" width="40.5703125" customWidth="1"/>
    <col min="4" max="4" width="23.7109375" customWidth="1"/>
    <col min="5" max="5" width="59.140625" customWidth="1"/>
  </cols>
  <sheetData>
    <row r="5" spans="1:5" ht="18">
      <c r="A5" s="169" t="s">
        <v>324</v>
      </c>
      <c r="B5" s="169"/>
      <c r="C5" s="169"/>
      <c r="D5" s="169"/>
      <c r="E5" s="169"/>
    </row>
    <row r="7" spans="1:5" ht="13.5" thickBot="1"/>
    <row r="8" spans="1:5" s="7" customFormat="1" ht="36" customHeight="1" thickTop="1" thickBot="1">
      <c r="A8" s="54" t="s">
        <v>318</v>
      </c>
      <c r="B8" s="54" t="s">
        <v>319</v>
      </c>
      <c r="C8" s="54" t="s">
        <v>316</v>
      </c>
      <c r="D8" s="54" t="s">
        <v>317</v>
      </c>
      <c r="E8" s="55" t="s">
        <v>320</v>
      </c>
    </row>
    <row r="9" spans="1:5" ht="15.75" thickTop="1">
      <c r="A9" s="119" t="s">
        <v>47</v>
      </c>
      <c r="B9" s="119" t="s">
        <v>48</v>
      </c>
      <c r="C9" s="120" t="s">
        <v>500</v>
      </c>
      <c r="D9" s="120" t="s">
        <v>503</v>
      </c>
      <c r="E9" s="176" t="s">
        <v>50</v>
      </c>
    </row>
    <row r="10" spans="1:5" ht="15">
      <c r="A10" s="103"/>
      <c r="B10" s="103"/>
      <c r="C10" s="81" t="s">
        <v>549</v>
      </c>
      <c r="D10" s="81" t="s">
        <v>49</v>
      </c>
      <c r="E10" s="171"/>
    </row>
    <row r="11" spans="1:5" ht="15">
      <c r="A11" s="103"/>
      <c r="B11" s="104"/>
      <c r="C11" s="81" t="s">
        <v>479</v>
      </c>
      <c r="D11" s="81" t="s">
        <v>516</v>
      </c>
      <c r="E11" s="171"/>
    </row>
    <row r="12" spans="1:5" ht="15.75" thickBot="1">
      <c r="A12" s="103"/>
      <c r="B12" s="104"/>
      <c r="C12" s="81" t="s">
        <v>534</v>
      </c>
      <c r="D12" s="81" t="s">
        <v>487</v>
      </c>
      <c r="E12" s="171"/>
    </row>
    <row r="13" spans="1:5" ht="15.75" thickTop="1">
      <c r="A13" s="105" t="s">
        <v>51</v>
      </c>
      <c r="B13" s="105" t="s">
        <v>335</v>
      </c>
      <c r="C13" s="106" t="s">
        <v>500</v>
      </c>
      <c r="D13" s="106" t="s">
        <v>503</v>
      </c>
      <c r="E13" s="177" t="s">
        <v>52</v>
      </c>
    </row>
    <row r="14" spans="1:5" ht="15">
      <c r="A14" s="107"/>
      <c r="B14" s="107"/>
      <c r="C14" s="85" t="s">
        <v>478</v>
      </c>
      <c r="D14" s="85" t="s">
        <v>485</v>
      </c>
      <c r="E14" s="178"/>
    </row>
    <row r="15" spans="1:5" ht="15">
      <c r="A15" s="107"/>
      <c r="B15" s="114"/>
      <c r="C15" s="85" t="s">
        <v>479</v>
      </c>
      <c r="D15" s="85" t="s">
        <v>516</v>
      </c>
      <c r="E15" s="178"/>
    </row>
    <row r="16" spans="1:5" ht="15">
      <c r="A16" s="107"/>
      <c r="B16" s="108"/>
      <c r="C16" s="85" t="s">
        <v>497</v>
      </c>
      <c r="D16" s="85" t="s">
        <v>487</v>
      </c>
      <c r="E16" s="178"/>
    </row>
    <row r="17" spans="1:5" ht="15.75" thickBot="1">
      <c r="A17" s="107"/>
      <c r="B17" s="108"/>
      <c r="C17" s="85" t="s">
        <v>498</v>
      </c>
      <c r="D17" s="85" t="s">
        <v>487</v>
      </c>
      <c r="E17" s="178"/>
    </row>
    <row r="18" spans="1:5" ht="15.75" thickTop="1">
      <c r="A18" s="119" t="s">
        <v>53</v>
      </c>
      <c r="B18" s="119" t="s">
        <v>336</v>
      </c>
      <c r="C18" s="120" t="s">
        <v>500</v>
      </c>
      <c r="D18" s="120" t="s">
        <v>503</v>
      </c>
      <c r="E18" s="176" t="s">
        <v>54</v>
      </c>
    </row>
    <row r="19" spans="1:5" ht="15">
      <c r="A19" s="103"/>
      <c r="B19" s="103"/>
      <c r="C19" s="81" t="s">
        <v>479</v>
      </c>
      <c r="D19" s="81" t="s">
        <v>516</v>
      </c>
      <c r="E19" s="171"/>
    </row>
    <row r="20" spans="1:5" ht="15.75" thickBot="1">
      <c r="A20" s="103"/>
      <c r="B20" s="115"/>
      <c r="C20" s="104"/>
      <c r="D20" s="104"/>
      <c r="E20" s="171"/>
    </row>
    <row r="21" spans="1:5" ht="15.75" thickTop="1">
      <c r="A21" s="105" t="s">
        <v>55</v>
      </c>
      <c r="B21" s="105" t="s">
        <v>56</v>
      </c>
      <c r="C21" s="106" t="s">
        <v>500</v>
      </c>
      <c r="D21" s="106" t="s">
        <v>503</v>
      </c>
      <c r="E21" s="174" t="s">
        <v>57</v>
      </c>
    </row>
    <row r="22" spans="1:5" ht="15">
      <c r="A22" s="107"/>
      <c r="B22" s="107"/>
      <c r="C22" s="85" t="s">
        <v>478</v>
      </c>
      <c r="D22" s="85" t="s">
        <v>485</v>
      </c>
      <c r="E22" s="173"/>
    </row>
    <row r="23" spans="1:5" ht="15">
      <c r="A23" s="107"/>
      <c r="B23" s="108"/>
      <c r="C23" s="85" t="s">
        <v>479</v>
      </c>
      <c r="D23" s="85" t="s">
        <v>516</v>
      </c>
      <c r="E23" s="173"/>
    </row>
    <row r="24" spans="1:5" ht="15">
      <c r="A24" s="107"/>
      <c r="B24" s="108"/>
      <c r="C24" s="85" t="s">
        <v>498</v>
      </c>
      <c r="D24" s="85" t="s">
        <v>487</v>
      </c>
      <c r="E24" s="173"/>
    </row>
    <row r="25" spans="1:5" ht="15.75" thickBot="1">
      <c r="A25" s="107"/>
      <c r="B25" s="108"/>
      <c r="C25" s="85" t="s">
        <v>543</v>
      </c>
      <c r="D25" s="85" t="s">
        <v>487</v>
      </c>
      <c r="E25" s="173"/>
    </row>
    <row r="26" spans="1:5" ht="45.75" thickTop="1">
      <c r="A26" s="119" t="s">
        <v>58</v>
      </c>
      <c r="B26" s="119" t="s">
        <v>59</v>
      </c>
      <c r="C26" s="120" t="s">
        <v>500</v>
      </c>
      <c r="D26" s="120" t="s">
        <v>541</v>
      </c>
      <c r="E26" s="176" t="s">
        <v>62</v>
      </c>
    </row>
    <row r="27" spans="1:5" ht="15">
      <c r="A27" s="103"/>
      <c r="B27" s="103"/>
      <c r="C27" s="81" t="s">
        <v>520</v>
      </c>
      <c r="D27" s="81" t="s">
        <v>494</v>
      </c>
      <c r="E27" s="171"/>
    </row>
    <row r="28" spans="1:5" ht="15">
      <c r="A28" s="103"/>
      <c r="B28" s="104"/>
      <c r="C28" s="81" t="s">
        <v>364</v>
      </c>
      <c r="D28" s="81" t="s">
        <v>494</v>
      </c>
      <c r="E28" s="171"/>
    </row>
    <row r="29" spans="1:5" ht="15">
      <c r="A29" s="103"/>
      <c r="B29" s="104"/>
      <c r="C29" s="81" t="s">
        <v>60</v>
      </c>
      <c r="D29" s="81" t="s">
        <v>61</v>
      </c>
      <c r="E29" s="171"/>
    </row>
    <row r="30" spans="1:5" ht="15.75" thickBot="1">
      <c r="A30" s="103"/>
      <c r="B30" s="104"/>
      <c r="C30" s="81" t="s">
        <v>479</v>
      </c>
      <c r="D30" s="81" t="s">
        <v>516</v>
      </c>
      <c r="E30" s="171"/>
    </row>
    <row r="31" spans="1:5" ht="30.75" thickTop="1">
      <c r="A31" s="105" t="s">
        <v>63</v>
      </c>
      <c r="B31" s="105" t="s">
        <v>94</v>
      </c>
      <c r="C31" s="106" t="s">
        <v>514</v>
      </c>
      <c r="D31" s="106" t="s">
        <v>525</v>
      </c>
      <c r="E31" s="174" t="s">
        <v>66</v>
      </c>
    </row>
    <row r="32" spans="1:5" ht="15">
      <c r="A32" s="107"/>
      <c r="B32" s="107"/>
      <c r="C32" s="85" t="s">
        <v>64</v>
      </c>
      <c r="D32" s="85" t="s">
        <v>65</v>
      </c>
      <c r="E32" s="173"/>
    </row>
    <row r="33" spans="1:5" ht="15">
      <c r="A33" s="107"/>
      <c r="B33" s="114"/>
      <c r="C33" s="85" t="s">
        <v>477</v>
      </c>
      <c r="D33" s="85" t="s">
        <v>495</v>
      </c>
      <c r="E33" s="173"/>
    </row>
    <row r="34" spans="1:5" ht="15">
      <c r="A34" s="107"/>
      <c r="B34" s="114"/>
      <c r="C34" s="85" t="s">
        <v>478</v>
      </c>
      <c r="D34" s="85" t="s">
        <v>485</v>
      </c>
      <c r="E34" s="173"/>
    </row>
    <row r="35" spans="1:5" ht="15">
      <c r="A35" s="107"/>
      <c r="B35" s="108"/>
      <c r="C35" s="85" t="s">
        <v>479</v>
      </c>
      <c r="D35" s="85" t="s">
        <v>516</v>
      </c>
      <c r="E35" s="173"/>
    </row>
    <row r="36" spans="1:5" ht="15.75" thickBot="1">
      <c r="A36" s="107"/>
      <c r="B36" s="108"/>
      <c r="C36" s="85" t="s">
        <v>480</v>
      </c>
      <c r="D36" s="85" t="s">
        <v>487</v>
      </c>
      <c r="E36" s="173"/>
    </row>
    <row r="37" spans="1:5" ht="30.75" thickTop="1">
      <c r="A37" s="119" t="s">
        <v>67</v>
      </c>
      <c r="B37" s="119" t="s">
        <v>68</v>
      </c>
      <c r="C37" s="120" t="s">
        <v>514</v>
      </c>
      <c r="D37" s="120" t="s">
        <v>525</v>
      </c>
      <c r="E37" s="176" t="s">
        <v>69</v>
      </c>
    </row>
    <row r="38" spans="1:5" ht="15">
      <c r="A38" s="103"/>
      <c r="B38" s="103"/>
      <c r="C38" s="81" t="s">
        <v>366</v>
      </c>
      <c r="D38" s="81" t="s">
        <v>483</v>
      </c>
      <c r="E38" s="171"/>
    </row>
    <row r="39" spans="1:5" ht="15">
      <c r="A39" s="103"/>
      <c r="B39" s="104"/>
      <c r="C39" s="81" t="s">
        <v>299</v>
      </c>
      <c r="D39" s="81" t="s">
        <v>526</v>
      </c>
      <c r="E39" s="171"/>
    </row>
    <row r="40" spans="1:5" ht="15">
      <c r="A40" s="103"/>
      <c r="B40" s="104"/>
      <c r="C40" s="81" t="s">
        <v>364</v>
      </c>
      <c r="D40" s="81" t="s">
        <v>526</v>
      </c>
      <c r="E40" s="171"/>
    </row>
    <row r="41" spans="1:5" ht="15">
      <c r="A41" s="103"/>
      <c r="B41" s="104"/>
      <c r="C41" s="81" t="s">
        <v>360</v>
      </c>
      <c r="D41" s="81" t="s">
        <v>526</v>
      </c>
      <c r="E41" s="171"/>
    </row>
    <row r="42" spans="1:5" ht="15">
      <c r="A42" s="103"/>
      <c r="B42" s="104"/>
      <c r="C42" s="81" t="s">
        <v>538</v>
      </c>
      <c r="D42" s="81" t="s">
        <v>526</v>
      </c>
      <c r="E42" s="171"/>
    </row>
    <row r="43" spans="1:5" ht="15">
      <c r="A43" s="103"/>
      <c r="B43" s="104"/>
      <c r="C43" s="81" t="s">
        <v>477</v>
      </c>
      <c r="D43" s="81" t="s">
        <v>495</v>
      </c>
      <c r="E43" s="171"/>
    </row>
    <row r="44" spans="1:5" ht="15">
      <c r="A44" s="103"/>
      <c r="B44" s="104"/>
      <c r="C44" s="81" t="s">
        <v>478</v>
      </c>
      <c r="D44" s="81" t="s">
        <v>485</v>
      </c>
      <c r="E44" s="171"/>
    </row>
    <row r="45" spans="1:5" ht="15.75" thickBot="1">
      <c r="A45" s="103"/>
      <c r="B45" s="104"/>
      <c r="C45" s="81" t="s">
        <v>480</v>
      </c>
      <c r="D45" s="81" t="s">
        <v>487</v>
      </c>
      <c r="E45" s="171"/>
    </row>
    <row r="46" spans="1:5" ht="15.75" thickTop="1">
      <c r="A46" s="105" t="s">
        <v>70</v>
      </c>
      <c r="B46" s="105" t="s">
        <v>71</v>
      </c>
      <c r="C46" s="106" t="s">
        <v>514</v>
      </c>
      <c r="D46" s="106" t="s">
        <v>493</v>
      </c>
      <c r="E46" s="174" t="s">
        <v>72</v>
      </c>
    </row>
    <row r="47" spans="1:5" ht="15">
      <c r="A47" s="107"/>
      <c r="B47" s="107"/>
      <c r="C47" s="85" t="s">
        <v>477</v>
      </c>
      <c r="D47" s="85" t="s">
        <v>484</v>
      </c>
      <c r="E47" s="173"/>
    </row>
    <row r="48" spans="1:5" ht="15">
      <c r="A48" s="107"/>
      <c r="B48" s="114"/>
      <c r="C48" s="85" t="s">
        <v>478</v>
      </c>
      <c r="D48" s="85" t="s">
        <v>485</v>
      </c>
      <c r="E48" s="173"/>
    </row>
    <row r="49" spans="1:5" ht="15">
      <c r="A49" s="107"/>
      <c r="B49" s="108"/>
      <c r="C49" s="85" t="s">
        <v>479</v>
      </c>
      <c r="D49" s="85" t="s">
        <v>516</v>
      </c>
      <c r="E49" s="173"/>
    </row>
    <row r="50" spans="1:5" ht="15.75" thickBot="1">
      <c r="A50" s="107"/>
      <c r="B50" s="108"/>
      <c r="C50" s="85" t="s">
        <v>480</v>
      </c>
      <c r="D50" s="85" t="s">
        <v>487</v>
      </c>
      <c r="E50" s="173"/>
    </row>
    <row r="51" spans="1:5" ht="15.75" thickTop="1">
      <c r="A51" s="119" t="s">
        <v>73</v>
      </c>
      <c r="B51" s="119" t="s">
        <v>95</v>
      </c>
      <c r="C51" s="120" t="s">
        <v>489</v>
      </c>
      <c r="D51" s="120" t="s">
        <v>493</v>
      </c>
      <c r="E51" s="176" t="s">
        <v>74</v>
      </c>
    </row>
    <row r="52" spans="1:5" ht="15">
      <c r="A52" s="103"/>
      <c r="B52" s="103"/>
      <c r="C52" s="81" t="s">
        <v>479</v>
      </c>
      <c r="D52" s="81" t="s">
        <v>516</v>
      </c>
      <c r="E52" s="171"/>
    </row>
    <row r="53" spans="1:5" ht="15.75" thickBot="1">
      <c r="A53" s="103"/>
      <c r="B53" s="115"/>
      <c r="C53" s="104"/>
      <c r="D53" s="104"/>
      <c r="E53" s="171"/>
    </row>
    <row r="54" spans="1:5" ht="45.75" thickTop="1">
      <c r="A54" s="105" t="s">
        <v>75</v>
      </c>
      <c r="B54" s="105" t="s">
        <v>76</v>
      </c>
      <c r="C54" s="106" t="s">
        <v>77</v>
      </c>
      <c r="D54" s="106" t="s">
        <v>493</v>
      </c>
      <c r="E54" s="174" t="s">
        <v>80</v>
      </c>
    </row>
    <row r="55" spans="1:5" ht="15">
      <c r="A55" s="107"/>
      <c r="B55" s="114"/>
      <c r="C55" s="85" t="s">
        <v>360</v>
      </c>
      <c r="D55" s="85" t="s">
        <v>525</v>
      </c>
      <c r="E55" s="173"/>
    </row>
    <row r="56" spans="1:5" ht="15">
      <c r="A56" s="107"/>
      <c r="B56" s="107"/>
      <c r="C56" s="85" t="s">
        <v>3</v>
      </c>
      <c r="D56" s="85" t="s">
        <v>525</v>
      </c>
      <c r="E56" s="173"/>
    </row>
    <row r="57" spans="1:5" ht="15">
      <c r="A57" s="107"/>
      <c r="B57" s="108"/>
      <c r="C57" s="85" t="s">
        <v>364</v>
      </c>
      <c r="D57" s="85" t="s">
        <v>494</v>
      </c>
      <c r="E57" s="173"/>
    </row>
    <row r="58" spans="1:5" ht="15">
      <c r="A58" s="107"/>
      <c r="B58" s="108"/>
      <c r="C58" s="85" t="s">
        <v>520</v>
      </c>
      <c r="D58" s="85" t="s">
        <v>494</v>
      </c>
      <c r="E58" s="173"/>
    </row>
    <row r="59" spans="1:5" ht="15">
      <c r="A59" s="107"/>
      <c r="B59" s="108"/>
      <c r="C59" s="85" t="s">
        <v>299</v>
      </c>
      <c r="D59" s="85" t="s">
        <v>494</v>
      </c>
      <c r="E59" s="173"/>
    </row>
    <row r="60" spans="1:5" ht="15">
      <c r="A60" s="107"/>
      <c r="B60" s="108"/>
      <c r="C60" s="85" t="s">
        <v>78</v>
      </c>
      <c r="D60" s="85" t="s">
        <v>494</v>
      </c>
      <c r="E60" s="173"/>
    </row>
    <row r="61" spans="1:5" ht="15">
      <c r="A61" s="107"/>
      <c r="B61" s="108"/>
      <c r="C61" s="85" t="s">
        <v>79</v>
      </c>
      <c r="D61" s="85" t="s">
        <v>482</v>
      </c>
      <c r="E61" s="173"/>
    </row>
    <row r="62" spans="1:5" ht="15">
      <c r="A62" s="107"/>
      <c r="B62" s="108"/>
      <c r="C62" s="85" t="s">
        <v>538</v>
      </c>
      <c r="D62" s="85" t="s">
        <v>526</v>
      </c>
      <c r="E62" s="173"/>
    </row>
    <row r="63" spans="1:5" ht="15.75" thickBot="1">
      <c r="A63" s="107"/>
      <c r="B63" s="108"/>
      <c r="C63" s="85" t="s">
        <v>479</v>
      </c>
      <c r="D63" s="85" t="s">
        <v>516</v>
      </c>
      <c r="E63" s="173"/>
    </row>
    <row r="64" spans="1:5" ht="45.75" thickTop="1">
      <c r="A64" s="119" t="s">
        <v>81</v>
      </c>
      <c r="B64" s="119" t="s">
        <v>96</v>
      </c>
      <c r="C64" s="120" t="s">
        <v>360</v>
      </c>
      <c r="D64" s="120" t="s">
        <v>525</v>
      </c>
      <c r="E64" s="176" t="s">
        <v>82</v>
      </c>
    </row>
    <row r="65" spans="1:5" ht="15">
      <c r="A65" s="103"/>
      <c r="B65" s="103"/>
      <c r="C65" s="81" t="s">
        <v>299</v>
      </c>
      <c r="D65" s="81" t="s">
        <v>494</v>
      </c>
      <c r="E65" s="171"/>
    </row>
    <row r="66" spans="1:5" ht="15">
      <c r="A66" s="103"/>
      <c r="B66" s="115"/>
      <c r="C66" s="81" t="s">
        <v>364</v>
      </c>
      <c r="D66" s="81" t="s">
        <v>494</v>
      </c>
      <c r="E66" s="171"/>
    </row>
    <row r="67" spans="1:5" ht="15">
      <c r="A67" s="103"/>
      <c r="B67" s="115"/>
      <c r="C67" s="81" t="s">
        <v>520</v>
      </c>
      <c r="D67" s="81" t="s">
        <v>494</v>
      </c>
      <c r="E67" s="171"/>
    </row>
    <row r="68" spans="1:5" ht="15">
      <c r="A68" s="103"/>
      <c r="B68" s="104"/>
      <c r="C68" s="81" t="s">
        <v>595</v>
      </c>
      <c r="D68" s="81" t="s">
        <v>482</v>
      </c>
      <c r="E68" s="171"/>
    </row>
    <row r="69" spans="1:5" ht="15">
      <c r="A69" s="103"/>
      <c r="B69" s="104"/>
      <c r="C69" s="81" t="s">
        <v>517</v>
      </c>
      <c r="D69" s="81" t="s">
        <v>494</v>
      </c>
      <c r="E69" s="171"/>
    </row>
    <row r="70" spans="1:5" ht="15">
      <c r="A70" s="103"/>
      <c r="B70" s="104"/>
      <c r="C70" s="81" t="s">
        <v>366</v>
      </c>
      <c r="D70" s="81" t="s">
        <v>483</v>
      </c>
      <c r="E70" s="171"/>
    </row>
    <row r="71" spans="1:5" ht="15">
      <c r="A71" s="103"/>
      <c r="B71" s="104"/>
      <c r="C71" s="81" t="s">
        <v>477</v>
      </c>
      <c r="D71" s="81" t="s">
        <v>484</v>
      </c>
      <c r="E71" s="171"/>
    </row>
    <row r="72" spans="1:5" ht="15">
      <c r="A72" s="103"/>
      <c r="B72" s="104"/>
      <c r="C72" s="81" t="s">
        <v>478</v>
      </c>
      <c r="D72" s="81" t="s">
        <v>485</v>
      </c>
      <c r="E72" s="171"/>
    </row>
    <row r="73" spans="1:5" ht="15">
      <c r="A73" s="103"/>
      <c r="B73" s="104"/>
      <c r="C73" s="81" t="s">
        <v>479</v>
      </c>
      <c r="D73" s="81" t="s">
        <v>516</v>
      </c>
      <c r="E73" s="171"/>
    </row>
    <row r="74" spans="1:5" ht="15.75" thickBot="1">
      <c r="A74" s="103"/>
      <c r="B74" s="104"/>
      <c r="C74" s="81" t="s">
        <v>480</v>
      </c>
      <c r="D74" s="81" t="s">
        <v>487</v>
      </c>
      <c r="E74" s="171"/>
    </row>
    <row r="75" spans="1:5" ht="15.75" thickTop="1">
      <c r="A75" s="105" t="s">
        <v>83</v>
      </c>
      <c r="B75" s="105" t="s">
        <v>306</v>
      </c>
      <c r="C75" s="106" t="s">
        <v>299</v>
      </c>
      <c r="D75" s="106" t="s">
        <v>494</v>
      </c>
      <c r="E75" s="174" t="s">
        <v>84</v>
      </c>
    </row>
    <row r="76" spans="1:5" ht="15">
      <c r="A76" s="107"/>
      <c r="B76" s="107"/>
      <c r="C76" s="85" t="s">
        <v>520</v>
      </c>
      <c r="D76" s="85" t="s">
        <v>494</v>
      </c>
      <c r="E76" s="173"/>
    </row>
    <row r="77" spans="1:5" ht="15">
      <c r="A77" s="107"/>
      <c r="B77" s="108"/>
      <c r="C77" s="85" t="s">
        <v>364</v>
      </c>
      <c r="D77" s="85" t="s">
        <v>494</v>
      </c>
      <c r="E77" s="173"/>
    </row>
    <row r="78" spans="1:5" ht="15">
      <c r="A78" s="107"/>
      <c r="B78" s="108"/>
      <c r="C78" s="85" t="s">
        <v>478</v>
      </c>
      <c r="D78" s="85" t="s">
        <v>553</v>
      </c>
      <c r="E78" s="173"/>
    </row>
    <row r="79" spans="1:5" ht="15.75" thickBot="1">
      <c r="A79" s="107"/>
      <c r="B79" s="108"/>
      <c r="C79" s="85" t="s">
        <v>479</v>
      </c>
      <c r="D79" s="85" t="s">
        <v>516</v>
      </c>
      <c r="E79" s="173"/>
    </row>
    <row r="80" spans="1:5" ht="30.75" thickTop="1">
      <c r="A80" s="119" t="s">
        <v>85</v>
      </c>
      <c r="B80" s="119" t="s">
        <v>86</v>
      </c>
      <c r="C80" s="120" t="s">
        <v>500</v>
      </c>
      <c r="D80" s="120" t="s">
        <v>541</v>
      </c>
      <c r="E80" s="176" t="s">
        <v>87</v>
      </c>
    </row>
    <row r="81" spans="1:5" ht="15">
      <c r="A81" s="103"/>
      <c r="B81" s="103"/>
      <c r="C81" s="81" t="s">
        <v>520</v>
      </c>
      <c r="D81" s="81" t="s">
        <v>546</v>
      </c>
      <c r="E81" s="171"/>
    </row>
    <row r="82" spans="1:5" ht="15">
      <c r="A82" s="103"/>
      <c r="B82" s="104"/>
      <c r="C82" s="81" t="s">
        <v>299</v>
      </c>
      <c r="D82" s="81" t="s">
        <v>546</v>
      </c>
      <c r="E82" s="171"/>
    </row>
    <row r="83" spans="1:5" ht="15">
      <c r="A83" s="103"/>
      <c r="B83" s="104"/>
      <c r="C83" s="81" t="s">
        <v>364</v>
      </c>
      <c r="D83" s="81" t="s">
        <v>494</v>
      </c>
      <c r="E83" s="171"/>
    </row>
    <row r="84" spans="1:5" ht="15">
      <c r="A84" s="103"/>
      <c r="B84" s="104"/>
      <c r="C84" s="81" t="s">
        <v>477</v>
      </c>
      <c r="D84" s="81" t="s">
        <v>495</v>
      </c>
      <c r="E84" s="171"/>
    </row>
    <row r="85" spans="1:5" ht="15">
      <c r="A85" s="103"/>
      <c r="B85" s="104"/>
      <c r="C85" s="81" t="s">
        <v>479</v>
      </c>
      <c r="D85" s="81" t="s">
        <v>516</v>
      </c>
      <c r="E85" s="171"/>
    </row>
    <row r="86" spans="1:5" ht="15.75" thickBot="1">
      <c r="A86" s="103"/>
      <c r="B86" s="104"/>
      <c r="C86" s="81" t="s">
        <v>480</v>
      </c>
      <c r="D86" s="81" t="s">
        <v>487</v>
      </c>
      <c r="E86" s="171"/>
    </row>
    <row r="87" spans="1:5" ht="15.75" thickTop="1">
      <c r="A87" s="105" t="s">
        <v>88</v>
      </c>
      <c r="B87" s="105" t="s">
        <v>89</v>
      </c>
      <c r="C87" s="106" t="s">
        <v>514</v>
      </c>
      <c r="D87" s="106" t="s">
        <v>525</v>
      </c>
      <c r="E87" s="174" t="s">
        <v>90</v>
      </c>
    </row>
    <row r="88" spans="1:5" ht="15">
      <c r="A88" s="107"/>
      <c r="B88" s="107"/>
      <c r="C88" s="85" t="s">
        <v>366</v>
      </c>
      <c r="D88" s="85" t="s">
        <v>483</v>
      </c>
      <c r="E88" s="173"/>
    </row>
    <row r="89" spans="1:5" ht="15">
      <c r="A89" s="107"/>
      <c r="B89" s="114"/>
      <c r="C89" s="85" t="s">
        <v>401</v>
      </c>
      <c r="D89" s="85" t="s">
        <v>495</v>
      </c>
      <c r="E89" s="173"/>
    </row>
    <row r="90" spans="1:5" ht="15">
      <c r="A90" s="107"/>
      <c r="B90" s="108"/>
      <c r="C90" s="85" t="s">
        <v>477</v>
      </c>
      <c r="D90" s="85" t="s">
        <v>484</v>
      </c>
      <c r="E90" s="173"/>
    </row>
    <row r="91" spans="1:5" ht="15">
      <c r="A91" s="107"/>
      <c r="B91" s="108"/>
      <c r="C91" s="85" t="s">
        <v>478</v>
      </c>
      <c r="D91" s="85" t="s">
        <v>485</v>
      </c>
      <c r="E91" s="173"/>
    </row>
    <row r="92" spans="1:5" ht="15">
      <c r="A92" s="107"/>
      <c r="B92" s="108"/>
      <c r="C92" s="85" t="s">
        <v>479</v>
      </c>
      <c r="D92" s="85" t="s">
        <v>516</v>
      </c>
      <c r="E92" s="173"/>
    </row>
    <row r="93" spans="1:5" ht="15.75" thickBot="1">
      <c r="A93" s="107"/>
      <c r="B93" s="108"/>
      <c r="C93" s="85" t="s">
        <v>480</v>
      </c>
      <c r="D93" s="85" t="s">
        <v>487</v>
      </c>
      <c r="E93" s="173"/>
    </row>
    <row r="94" spans="1:5" ht="114" customHeight="1" thickTop="1">
      <c r="A94" s="119" t="s">
        <v>91</v>
      </c>
      <c r="B94" s="119" t="s">
        <v>92</v>
      </c>
      <c r="C94" s="120" t="s">
        <v>480</v>
      </c>
      <c r="D94" s="120" t="s">
        <v>487</v>
      </c>
      <c r="E94" s="121" t="s">
        <v>93</v>
      </c>
    </row>
    <row r="95" spans="1:5" ht="15">
      <c r="A95" s="103"/>
      <c r="B95" s="103"/>
      <c r="C95" s="81" t="s">
        <v>477</v>
      </c>
      <c r="D95" s="81" t="s">
        <v>484</v>
      </c>
      <c r="E95" s="103"/>
    </row>
    <row r="96" spans="1:5" ht="15">
      <c r="A96" s="103"/>
      <c r="B96" s="115"/>
      <c r="C96" s="81" t="s">
        <v>478</v>
      </c>
      <c r="D96" s="81" t="s">
        <v>485</v>
      </c>
      <c r="E96" s="97"/>
    </row>
    <row r="97" spans="1:5" ht="15">
      <c r="A97" s="103"/>
      <c r="B97" s="104"/>
      <c r="C97" s="81" t="s">
        <v>299</v>
      </c>
      <c r="D97" s="81" t="s">
        <v>494</v>
      </c>
      <c r="E97" s="104"/>
    </row>
    <row r="98" spans="1:5" ht="15">
      <c r="A98" s="103"/>
      <c r="B98" s="104"/>
      <c r="C98" s="81" t="s">
        <v>520</v>
      </c>
      <c r="D98" s="81" t="s">
        <v>494</v>
      </c>
      <c r="E98" s="104"/>
    </row>
    <row r="99" spans="1:5" ht="15">
      <c r="A99" s="103"/>
      <c r="B99" s="104"/>
      <c r="C99" s="81" t="s">
        <v>364</v>
      </c>
      <c r="D99" s="81" t="s">
        <v>494</v>
      </c>
      <c r="E99" s="104"/>
    </row>
    <row r="100" spans="1:5" ht="15">
      <c r="A100" s="103"/>
      <c r="B100" s="104"/>
      <c r="C100" s="81" t="s">
        <v>478</v>
      </c>
      <c r="D100" s="81" t="s">
        <v>553</v>
      </c>
      <c r="E100" s="104"/>
    </row>
    <row r="101" spans="1:5" ht="15">
      <c r="A101" s="103"/>
      <c r="B101" s="104"/>
      <c r="C101" s="81" t="s">
        <v>479</v>
      </c>
      <c r="D101" s="81" t="s">
        <v>516</v>
      </c>
      <c r="E101" s="104"/>
    </row>
    <row r="102" spans="1:5" ht="15.75" thickBot="1">
      <c r="A102" s="122"/>
      <c r="B102" s="123"/>
      <c r="C102" s="124"/>
      <c r="D102" s="124"/>
      <c r="E102" s="123"/>
    </row>
    <row r="103" spans="1:5" ht="13.5" thickTop="1">
      <c r="A103" s="125"/>
      <c r="B103" s="125"/>
      <c r="C103" s="125"/>
      <c r="D103" s="125"/>
      <c r="E103" s="125"/>
    </row>
    <row r="104" spans="1:5">
      <c r="A104" s="125"/>
      <c r="B104" s="125"/>
      <c r="C104" s="125"/>
      <c r="D104" s="125"/>
      <c r="E104" s="125"/>
    </row>
    <row r="105" spans="1:5">
      <c r="A105" s="125"/>
      <c r="B105" s="125"/>
      <c r="C105" s="125"/>
      <c r="D105" s="125"/>
      <c r="E105" s="125"/>
    </row>
    <row r="106" spans="1:5">
      <c r="A106" s="125"/>
      <c r="B106" s="125"/>
      <c r="C106" s="125"/>
      <c r="D106" s="125"/>
      <c r="E106" s="125"/>
    </row>
    <row r="107" spans="1:5">
      <c r="A107" s="125"/>
      <c r="B107" s="125"/>
      <c r="C107" s="125"/>
      <c r="D107" s="125"/>
      <c r="E107" s="125"/>
    </row>
    <row r="108" spans="1:5">
      <c r="A108" s="125"/>
      <c r="B108" s="125"/>
      <c r="C108" s="125"/>
      <c r="D108" s="125"/>
      <c r="E108" s="125"/>
    </row>
    <row r="109" spans="1:5">
      <c r="A109" s="125"/>
      <c r="B109" s="125"/>
      <c r="C109" s="125"/>
      <c r="D109" s="125"/>
      <c r="E109" s="125"/>
    </row>
    <row r="110" spans="1:5">
      <c r="A110" s="125"/>
      <c r="B110" s="125"/>
      <c r="C110" s="125"/>
      <c r="D110" s="125"/>
      <c r="E110" s="125"/>
    </row>
    <row r="111" spans="1:5">
      <c r="A111" s="125"/>
      <c r="B111" s="125"/>
      <c r="C111" s="125"/>
      <c r="D111" s="125"/>
      <c r="E111" s="125"/>
    </row>
    <row r="112" spans="1:5">
      <c r="A112" s="125"/>
      <c r="B112" s="125"/>
      <c r="C112" s="125"/>
      <c r="D112" s="125"/>
      <c r="E112" s="125"/>
    </row>
    <row r="113" spans="1:5">
      <c r="A113" s="125"/>
      <c r="B113" s="125"/>
      <c r="C113" s="125"/>
      <c r="D113" s="125"/>
      <c r="E113" s="125"/>
    </row>
    <row r="114" spans="1:5">
      <c r="A114" s="125"/>
      <c r="B114" s="125"/>
      <c r="C114" s="125"/>
      <c r="D114" s="125"/>
      <c r="E114" s="125"/>
    </row>
  </sheetData>
  <mergeCells count="15">
    <mergeCell ref="E21:E25"/>
    <mergeCell ref="E26:E30"/>
    <mergeCell ref="E31:E36"/>
    <mergeCell ref="E37:E45"/>
    <mergeCell ref="A5:E5"/>
    <mergeCell ref="E9:E12"/>
    <mergeCell ref="E13:E17"/>
    <mergeCell ref="E18:E20"/>
    <mergeCell ref="E75:E79"/>
    <mergeCell ref="E80:E86"/>
    <mergeCell ref="E87:E93"/>
    <mergeCell ref="E46:E50"/>
    <mergeCell ref="E51:E53"/>
    <mergeCell ref="E54:E63"/>
    <mergeCell ref="E64:E74"/>
  </mergeCells>
  <phoneticPr fontId="10" type="noConversion"/>
  <pageMargins left="0.74803149606299213" right="0.74803149606299213" top="0" bottom="0" header="0.31496062992125984" footer="0.31496062992125984"/>
  <pageSetup scale="6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83"/>
  <sheetViews>
    <sheetView showGridLines="0" topLeftCell="A38" zoomScale="120" zoomScaleNormal="120" workbookViewId="0">
      <selection activeCell="A54" sqref="A54"/>
    </sheetView>
  </sheetViews>
  <sheetFormatPr defaultRowHeight="12.75"/>
  <cols>
    <col min="1" max="1" width="13.5703125" customWidth="1"/>
    <col min="2" max="2" width="22.7109375" customWidth="1"/>
    <col min="3" max="3" width="30" customWidth="1"/>
    <col min="4" max="4" width="44.85546875" bestFit="1" customWidth="1"/>
    <col min="5" max="5" width="60.7109375" customWidth="1"/>
    <col min="6" max="6" width="14" customWidth="1"/>
  </cols>
  <sheetData>
    <row r="5" spans="1:6" ht="18">
      <c r="A5" s="169" t="s">
        <v>325</v>
      </c>
      <c r="B5" s="169"/>
      <c r="C5" s="169"/>
      <c r="D5" s="169"/>
      <c r="E5" s="169"/>
      <c r="F5" s="169"/>
    </row>
    <row r="6" spans="1:6" ht="13.5" thickBot="1"/>
    <row r="7" spans="1:6" s="7" customFormat="1" ht="36" customHeight="1" thickTop="1" thickBot="1">
      <c r="A7" s="56" t="s">
        <v>318</v>
      </c>
      <c r="B7" s="56" t="s">
        <v>319</v>
      </c>
      <c r="C7" s="56" t="s">
        <v>316</v>
      </c>
      <c r="D7" s="6" t="s">
        <v>317</v>
      </c>
      <c r="E7" s="52" t="s">
        <v>320</v>
      </c>
    </row>
    <row r="8" spans="1:6" ht="78" customHeight="1" thickTop="1">
      <c r="A8" s="115" t="s">
        <v>97</v>
      </c>
      <c r="B8" s="115" t="s">
        <v>98</v>
      </c>
      <c r="C8" s="81" t="s">
        <v>99</v>
      </c>
      <c r="D8" s="81" t="s">
        <v>104</v>
      </c>
      <c r="E8" s="187" t="s">
        <v>106</v>
      </c>
    </row>
    <row r="9" spans="1:6" ht="15">
      <c r="A9" s="103"/>
      <c r="B9" s="103"/>
      <c r="C9" s="81" t="s">
        <v>100</v>
      </c>
      <c r="D9" s="81" t="s">
        <v>105</v>
      </c>
      <c r="E9" s="187"/>
    </row>
    <row r="10" spans="1:6" ht="15">
      <c r="A10" s="103"/>
      <c r="B10" s="104"/>
      <c r="C10" s="81" t="s">
        <v>101</v>
      </c>
      <c r="D10" s="81" t="s">
        <v>496</v>
      </c>
      <c r="E10" s="187"/>
    </row>
    <row r="11" spans="1:6" ht="15">
      <c r="A11" s="103"/>
      <c r="B11" s="104"/>
      <c r="C11" s="81" t="s">
        <v>102</v>
      </c>
      <c r="D11" s="81" t="s">
        <v>496</v>
      </c>
      <c r="E11" s="187"/>
    </row>
    <row r="12" spans="1:6" ht="15">
      <c r="A12" s="103"/>
      <c r="B12" s="104"/>
      <c r="C12" s="81" t="s">
        <v>99</v>
      </c>
      <c r="D12" s="81" t="s">
        <v>104</v>
      </c>
      <c r="E12" s="187"/>
    </row>
    <row r="13" spans="1:6" ht="15.75" thickBot="1">
      <c r="A13" s="103"/>
      <c r="B13" s="104"/>
      <c r="C13" s="81" t="s">
        <v>103</v>
      </c>
      <c r="D13" s="81" t="s">
        <v>496</v>
      </c>
      <c r="E13" s="187"/>
    </row>
    <row r="14" spans="1:6" ht="134.25" customHeight="1" thickTop="1">
      <c r="A14" s="126" t="s">
        <v>107</v>
      </c>
      <c r="B14" s="126" t="s">
        <v>281</v>
      </c>
      <c r="C14" s="127" t="s">
        <v>108</v>
      </c>
      <c r="D14" s="127" t="s">
        <v>113</v>
      </c>
      <c r="E14" s="179" t="s">
        <v>117</v>
      </c>
    </row>
    <row r="15" spans="1:6" ht="15">
      <c r="A15" s="128"/>
      <c r="B15" s="129"/>
      <c r="C15" s="130" t="s">
        <v>109</v>
      </c>
      <c r="D15" s="130" t="s">
        <v>114</v>
      </c>
      <c r="E15" s="180"/>
    </row>
    <row r="16" spans="1:6" ht="15">
      <c r="A16" s="128"/>
      <c r="B16" s="129"/>
      <c r="C16" s="130" t="s">
        <v>528</v>
      </c>
      <c r="D16" s="130" t="s">
        <v>115</v>
      </c>
      <c r="E16" s="180"/>
    </row>
    <row r="17" spans="1:5" ht="15">
      <c r="A17" s="128"/>
      <c r="B17" s="129"/>
      <c r="C17" s="130" t="s">
        <v>110</v>
      </c>
      <c r="D17" s="130" t="s">
        <v>116</v>
      </c>
      <c r="E17" s="180"/>
    </row>
    <row r="18" spans="1:5" ht="15">
      <c r="A18" s="128"/>
      <c r="B18" s="129"/>
      <c r="C18" s="130" t="s">
        <v>111</v>
      </c>
      <c r="D18" s="130" t="s">
        <v>116</v>
      </c>
      <c r="E18" s="180"/>
    </row>
    <row r="19" spans="1:5" ht="15.75" thickBot="1">
      <c r="A19" s="131"/>
      <c r="B19" s="132"/>
      <c r="C19" s="133" t="s">
        <v>112</v>
      </c>
      <c r="D19" s="133" t="s">
        <v>487</v>
      </c>
      <c r="E19" s="181"/>
    </row>
    <row r="20" spans="1:5" ht="59.25" customHeight="1" thickTop="1">
      <c r="A20" s="134" t="s">
        <v>118</v>
      </c>
      <c r="B20" s="135" t="s">
        <v>282</v>
      </c>
      <c r="C20" s="136" t="s">
        <v>119</v>
      </c>
      <c r="D20" s="136" t="s">
        <v>495</v>
      </c>
      <c r="E20" s="185" t="s">
        <v>121</v>
      </c>
    </row>
    <row r="21" spans="1:5" ht="15">
      <c r="A21" s="137"/>
      <c r="B21" s="138"/>
      <c r="C21" s="139" t="s">
        <v>108</v>
      </c>
      <c r="D21" s="139" t="s">
        <v>113</v>
      </c>
      <c r="E21" s="188"/>
    </row>
    <row r="22" spans="1:5" ht="15">
      <c r="A22" s="137"/>
      <c r="B22" s="135"/>
      <c r="C22" s="139" t="s">
        <v>109</v>
      </c>
      <c r="D22" s="139" t="s">
        <v>120</v>
      </c>
      <c r="E22" s="188"/>
    </row>
    <row r="23" spans="1:5" ht="15">
      <c r="A23" s="137"/>
      <c r="B23" s="135"/>
      <c r="C23" s="139" t="s">
        <v>111</v>
      </c>
      <c r="D23" s="139" t="s">
        <v>116</v>
      </c>
      <c r="E23" s="188"/>
    </row>
    <row r="24" spans="1:5" ht="15">
      <c r="A24" s="137"/>
      <c r="B24" s="140"/>
      <c r="C24" s="139" t="s">
        <v>110</v>
      </c>
      <c r="D24" s="139" t="s">
        <v>116</v>
      </c>
      <c r="E24" s="188"/>
    </row>
    <row r="25" spans="1:5" ht="15.75" thickBot="1">
      <c r="A25" s="141"/>
      <c r="B25" s="142"/>
      <c r="C25" s="143" t="s">
        <v>112</v>
      </c>
      <c r="D25" s="143" t="s">
        <v>487</v>
      </c>
      <c r="E25" s="186"/>
    </row>
    <row r="26" spans="1:5" ht="44.25" customHeight="1" thickTop="1">
      <c r="A26" s="126" t="s">
        <v>122</v>
      </c>
      <c r="B26" s="126" t="s">
        <v>283</v>
      </c>
      <c r="C26" s="127" t="s">
        <v>123</v>
      </c>
      <c r="D26" s="127" t="s">
        <v>526</v>
      </c>
      <c r="E26" s="179" t="s">
        <v>125</v>
      </c>
    </row>
    <row r="27" spans="1:5" ht="15">
      <c r="A27" s="128"/>
      <c r="B27" s="128"/>
      <c r="C27" s="130" t="s">
        <v>108</v>
      </c>
      <c r="D27" s="130"/>
      <c r="E27" s="180"/>
    </row>
    <row r="28" spans="1:5" ht="15">
      <c r="A28" s="128"/>
      <c r="B28" s="144"/>
      <c r="C28" s="130"/>
      <c r="D28" s="130" t="s">
        <v>113</v>
      </c>
      <c r="E28" s="180"/>
    </row>
    <row r="29" spans="1:5" ht="15">
      <c r="A29" s="128"/>
      <c r="B29" s="129"/>
      <c r="C29" s="130" t="s">
        <v>124</v>
      </c>
      <c r="D29" s="130"/>
      <c r="E29" s="180"/>
    </row>
    <row r="30" spans="1:5" ht="15">
      <c r="A30" s="128"/>
      <c r="B30" s="129"/>
      <c r="C30" s="130"/>
      <c r="D30" s="130" t="s">
        <v>114</v>
      </c>
      <c r="E30" s="180"/>
    </row>
    <row r="31" spans="1:5" ht="15">
      <c r="A31" s="128"/>
      <c r="B31" s="129"/>
      <c r="C31" s="130" t="s">
        <v>528</v>
      </c>
      <c r="D31" s="130"/>
      <c r="E31" s="180"/>
    </row>
    <row r="32" spans="1:5" ht="15">
      <c r="A32" s="128"/>
      <c r="B32" s="129"/>
      <c r="C32" s="130"/>
      <c r="D32" s="130" t="s">
        <v>115</v>
      </c>
      <c r="E32" s="180"/>
    </row>
    <row r="33" spans="1:5" ht="15">
      <c r="A33" s="128"/>
      <c r="B33" s="129"/>
      <c r="C33" s="130" t="s">
        <v>110</v>
      </c>
      <c r="D33" s="130"/>
      <c r="E33" s="180"/>
    </row>
    <row r="34" spans="1:5" ht="15">
      <c r="A34" s="128"/>
      <c r="B34" s="129"/>
      <c r="C34" s="130"/>
      <c r="D34" s="130" t="s">
        <v>116</v>
      </c>
      <c r="E34" s="180"/>
    </row>
    <row r="35" spans="1:5" ht="15">
      <c r="A35" s="128"/>
      <c r="B35" s="129"/>
      <c r="C35" s="130" t="s">
        <v>112</v>
      </c>
      <c r="D35" s="130"/>
      <c r="E35" s="180"/>
    </row>
    <row r="36" spans="1:5" ht="15.75" thickBot="1">
      <c r="A36" s="131"/>
      <c r="B36" s="132"/>
      <c r="C36" s="132"/>
      <c r="D36" s="133" t="s">
        <v>487</v>
      </c>
      <c r="E36" s="181"/>
    </row>
    <row r="37" spans="1:5" ht="59.25" customHeight="1" thickTop="1" thickBot="1">
      <c r="A37" s="145" t="s">
        <v>126</v>
      </c>
      <c r="B37" s="145" t="s">
        <v>284</v>
      </c>
      <c r="C37" s="146" t="s">
        <v>284</v>
      </c>
      <c r="D37" s="146" t="s">
        <v>285</v>
      </c>
      <c r="E37" s="147" t="s">
        <v>286</v>
      </c>
    </row>
    <row r="38" spans="1:5" ht="124.5" customHeight="1" thickTop="1">
      <c r="A38" s="126" t="s">
        <v>127</v>
      </c>
      <c r="B38" s="126" t="s">
        <v>287</v>
      </c>
      <c r="C38" s="127" t="s">
        <v>160</v>
      </c>
      <c r="D38" s="127" t="s">
        <v>128</v>
      </c>
      <c r="E38" s="179" t="s">
        <v>129</v>
      </c>
    </row>
    <row r="39" spans="1:5" ht="15">
      <c r="A39" s="128"/>
      <c r="B39" s="144"/>
      <c r="C39" s="130"/>
      <c r="D39" s="130"/>
      <c r="E39" s="180"/>
    </row>
    <row r="40" spans="1:5" ht="15">
      <c r="A40" s="128"/>
      <c r="B40" s="129"/>
      <c r="C40" s="130" t="s">
        <v>124</v>
      </c>
      <c r="D40" s="130" t="s">
        <v>114</v>
      </c>
      <c r="E40" s="180"/>
    </row>
    <row r="41" spans="1:5" ht="15">
      <c r="A41" s="128"/>
      <c r="B41" s="129"/>
      <c r="C41" s="130"/>
      <c r="D41" s="130"/>
      <c r="E41" s="180"/>
    </row>
    <row r="42" spans="1:5" ht="15">
      <c r="A42" s="128"/>
      <c r="B42" s="129"/>
      <c r="C42" s="130" t="s">
        <v>528</v>
      </c>
      <c r="D42" s="130"/>
      <c r="E42" s="180"/>
    </row>
    <row r="43" spans="1:5" ht="15.75" thickBot="1">
      <c r="A43" s="131"/>
      <c r="B43" s="132"/>
      <c r="C43" s="132"/>
      <c r="D43" s="133" t="s">
        <v>115</v>
      </c>
      <c r="E43" s="181"/>
    </row>
    <row r="44" spans="1:5" ht="30.75" customHeight="1" thickTop="1">
      <c r="A44" s="134" t="s">
        <v>130</v>
      </c>
      <c r="B44" s="134" t="s">
        <v>158</v>
      </c>
      <c r="C44" s="136" t="s">
        <v>131</v>
      </c>
      <c r="D44" s="136" t="s">
        <v>556</v>
      </c>
      <c r="E44" s="182" t="s">
        <v>133</v>
      </c>
    </row>
    <row r="45" spans="1:5" ht="15">
      <c r="A45" s="137"/>
      <c r="B45" s="137"/>
      <c r="C45" s="139" t="s">
        <v>132</v>
      </c>
      <c r="D45" s="139" t="s">
        <v>487</v>
      </c>
      <c r="E45" s="183"/>
    </row>
    <row r="46" spans="1:5" ht="12.75" customHeight="1">
      <c r="A46" s="137"/>
      <c r="B46" s="137"/>
      <c r="C46" s="140"/>
      <c r="D46" s="140"/>
      <c r="E46" s="183"/>
    </row>
    <row r="47" spans="1:5" ht="15">
      <c r="A47" s="137"/>
      <c r="B47" s="135"/>
      <c r="C47" s="140"/>
      <c r="D47" s="140"/>
      <c r="E47" s="183"/>
    </row>
    <row r="48" spans="1:5" ht="15">
      <c r="A48" s="137"/>
      <c r="B48" s="135"/>
      <c r="C48" s="140"/>
      <c r="D48" s="140"/>
      <c r="E48" s="183"/>
    </row>
    <row r="49" spans="1:5" ht="15.75" thickBot="1">
      <c r="A49" s="141"/>
      <c r="B49" s="148"/>
      <c r="C49" s="142"/>
      <c r="D49" s="142"/>
      <c r="E49" s="184"/>
    </row>
    <row r="50" spans="1:5" ht="65.25" customHeight="1" thickTop="1">
      <c r="A50" s="126" t="s">
        <v>134</v>
      </c>
      <c r="B50" s="126" t="s">
        <v>159</v>
      </c>
      <c r="C50" s="127" t="s">
        <v>131</v>
      </c>
      <c r="D50" s="127" t="s">
        <v>556</v>
      </c>
      <c r="E50" s="179" t="s">
        <v>136</v>
      </c>
    </row>
    <row r="51" spans="1:5" ht="15">
      <c r="A51" s="128"/>
      <c r="B51" s="128"/>
      <c r="C51" s="130" t="s">
        <v>132</v>
      </c>
      <c r="D51" s="130" t="s">
        <v>487</v>
      </c>
      <c r="E51" s="180"/>
    </row>
    <row r="52" spans="1:5" ht="15">
      <c r="A52" s="128"/>
      <c r="B52" s="144"/>
      <c r="C52" s="130" t="s">
        <v>135</v>
      </c>
      <c r="D52" s="130" t="s">
        <v>487</v>
      </c>
      <c r="E52" s="180"/>
    </row>
    <row r="53" spans="1:5" ht="15.75" thickBot="1">
      <c r="A53" s="131"/>
      <c r="B53" s="149"/>
      <c r="C53" s="132"/>
      <c r="D53" s="132"/>
      <c r="E53" s="181"/>
    </row>
    <row r="54" spans="1:5" ht="15.75" customHeight="1" thickTop="1">
      <c r="A54" s="134" t="s">
        <v>137</v>
      </c>
      <c r="B54" s="134" t="s">
        <v>138</v>
      </c>
      <c r="C54" s="136" t="s">
        <v>139</v>
      </c>
      <c r="D54" s="136" t="s">
        <v>540</v>
      </c>
      <c r="E54" s="182" t="s">
        <v>151</v>
      </c>
    </row>
    <row r="55" spans="1:5" ht="15">
      <c r="A55" s="137"/>
      <c r="B55" s="137"/>
      <c r="C55" s="139"/>
      <c r="D55" s="139"/>
      <c r="E55" s="183"/>
    </row>
    <row r="56" spans="1:5" ht="15">
      <c r="A56" s="137"/>
      <c r="B56" s="135"/>
      <c r="C56" s="139" t="s">
        <v>140</v>
      </c>
      <c r="D56" s="139" t="s">
        <v>519</v>
      </c>
      <c r="E56" s="183"/>
    </row>
    <row r="57" spans="1:5" ht="15">
      <c r="A57" s="137"/>
      <c r="B57" s="140"/>
      <c r="C57" s="139"/>
      <c r="D57" s="139"/>
      <c r="E57" s="183"/>
    </row>
    <row r="58" spans="1:5" ht="15">
      <c r="A58" s="137"/>
      <c r="B58" s="140"/>
      <c r="C58" s="139" t="s">
        <v>141</v>
      </c>
      <c r="D58" s="139"/>
      <c r="E58" s="183"/>
    </row>
    <row r="59" spans="1:5" ht="15">
      <c r="A59" s="137"/>
      <c r="B59" s="140"/>
      <c r="C59" s="139" t="s">
        <v>142</v>
      </c>
      <c r="D59" s="139" t="s">
        <v>481</v>
      </c>
      <c r="E59" s="183"/>
    </row>
    <row r="60" spans="1:5" ht="15">
      <c r="A60" s="137"/>
      <c r="B60" s="140"/>
      <c r="C60" s="139" t="s">
        <v>143</v>
      </c>
      <c r="D60" s="139"/>
      <c r="E60" s="183"/>
    </row>
    <row r="61" spans="1:5" ht="15">
      <c r="A61" s="137"/>
      <c r="B61" s="140"/>
      <c r="C61" s="139"/>
      <c r="D61" s="139"/>
      <c r="E61" s="183"/>
    </row>
    <row r="62" spans="1:5" ht="15">
      <c r="A62" s="137"/>
      <c r="B62" s="140"/>
      <c r="C62" s="139" t="s">
        <v>144</v>
      </c>
      <c r="D62" s="139"/>
      <c r="E62" s="183"/>
    </row>
    <row r="63" spans="1:5" ht="15">
      <c r="A63" s="137"/>
      <c r="B63" s="140"/>
      <c r="C63" s="139" t="s">
        <v>101</v>
      </c>
      <c r="D63" s="139"/>
      <c r="E63" s="183"/>
    </row>
    <row r="64" spans="1:5" ht="15">
      <c r="A64" s="137"/>
      <c r="B64" s="140"/>
      <c r="C64" s="139"/>
      <c r="D64" s="139" t="s">
        <v>556</v>
      </c>
      <c r="E64" s="183"/>
    </row>
    <row r="65" spans="1:5" ht="15">
      <c r="A65" s="137"/>
      <c r="B65" s="140"/>
      <c r="C65" s="139" t="s">
        <v>145</v>
      </c>
      <c r="D65" s="139"/>
      <c r="E65" s="183"/>
    </row>
    <row r="66" spans="1:5" ht="15">
      <c r="A66" s="137"/>
      <c r="B66" s="140"/>
      <c r="C66" s="139" t="s">
        <v>146</v>
      </c>
      <c r="D66" s="139"/>
      <c r="E66" s="183"/>
    </row>
    <row r="67" spans="1:5" ht="15">
      <c r="A67" s="137"/>
      <c r="B67" s="140"/>
      <c r="C67" s="139"/>
      <c r="D67" s="139"/>
      <c r="E67" s="183"/>
    </row>
    <row r="68" spans="1:5" ht="15">
      <c r="A68" s="137"/>
      <c r="B68" s="140"/>
      <c r="C68" s="139" t="s">
        <v>147</v>
      </c>
      <c r="D68" s="139" t="s">
        <v>150</v>
      </c>
      <c r="E68" s="183"/>
    </row>
    <row r="69" spans="1:5" ht="15">
      <c r="A69" s="137"/>
      <c r="B69" s="140"/>
      <c r="C69" s="139"/>
      <c r="D69" s="139"/>
      <c r="E69" s="183"/>
    </row>
    <row r="70" spans="1:5" ht="15">
      <c r="A70" s="137"/>
      <c r="B70" s="140"/>
      <c r="C70" s="139" t="s">
        <v>148</v>
      </c>
      <c r="D70" s="139" t="s">
        <v>509</v>
      </c>
      <c r="E70" s="183"/>
    </row>
    <row r="71" spans="1:5" ht="15">
      <c r="A71" s="137"/>
      <c r="B71" s="140"/>
      <c r="C71" s="139"/>
      <c r="D71" s="139"/>
      <c r="E71" s="183"/>
    </row>
    <row r="72" spans="1:5" ht="15">
      <c r="A72" s="137"/>
      <c r="B72" s="140"/>
      <c r="C72" s="139" t="s">
        <v>149</v>
      </c>
      <c r="D72" s="139" t="s">
        <v>570</v>
      </c>
      <c r="E72" s="183"/>
    </row>
    <row r="73" spans="1:5" ht="15">
      <c r="A73" s="137"/>
      <c r="B73" s="140"/>
      <c r="C73" s="140"/>
      <c r="D73" s="139"/>
      <c r="E73" s="183"/>
    </row>
    <row r="74" spans="1:5" ht="15.75" thickBot="1">
      <c r="A74" s="141"/>
      <c r="B74" s="142"/>
      <c r="C74" s="142"/>
      <c r="D74" s="143" t="s">
        <v>529</v>
      </c>
      <c r="E74" s="184"/>
    </row>
    <row r="75" spans="1:5" ht="63" customHeight="1" thickTop="1">
      <c r="A75" s="126" t="s">
        <v>152</v>
      </c>
      <c r="B75" s="126" t="s">
        <v>410</v>
      </c>
      <c r="C75" s="127" t="s">
        <v>99</v>
      </c>
      <c r="D75" s="127" t="s">
        <v>104</v>
      </c>
      <c r="E75" s="179" t="s">
        <v>153</v>
      </c>
    </row>
    <row r="76" spans="1:5" ht="15.75" thickBot="1">
      <c r="A76" s="131"/>
      <c r="B76" s="131"/>
      <c r="C76" s="133" t="s">
        <v>100</v>
      </c>
      <c r="D76" s="133" t="s">
        <v>105</v>
      </c>
      <c r="E76" s="181"/>
    </row>
    <row r="77" spans="1:5" ht="15.75" thickTop="1">
      <c r="A77" s="134" t="s">
        <v>154</v>
      </c>
      <c r="B77" s="134" t="s">
        <v>155</v>
      </c>
      <c r="C77" s="185" t="s">
        <v>155</v>
      </c>
      <c r="D77" s="185" t="s">
        <v>156</v>
      </c>
      <c r="E77" s="182" t="s">
        <v>157</v>
      </c>
    </row>
    <row r="78" spans="1:5" ht="38.25" customHeight="1" thickBot="1">
      <c r="A78" s="141"/>
      <c r="B78" s="141"/>
      <c r="C78" s="186"/>
      <c r="D78" s="186"/>
      <c r="E78" s="184"/>
    </row>
    <row r="79" spans="1:5" ht="13.5" thickTop="1">
      <c r="A79" s="107"/>
      <c r="B79" s="107"/>
      <c r="C79" s="107"/>
      <c r="D79" s="107"/>
      <c r="E79" s="107"/>
    </row>
    <row r="80" spans="1:5">
      <c r="A80" s="107"/>
      <c r="B80" s="107"/>
      <c r="C80" s="107"/>
      <c r="D80" s="107"/>
      <c r="E80" s="107"/>
    </row>
    <row r="81" spans="1:5">
      <c r="A81" s="125"/>
      <c r="B81" s="125"/>
      <c r="C81" s="125"/>
      <c r="D81" s="125"/>
      <c r="E81" s="125"/>
    </row>
    <row r="82" spans="1:5">
      <c r="A82" s="125"/>
      <c r="B82" s="125"/>
      <c r="C82" s="125"/>
      <c r="D82" s="125"/>
      <c r="E82" s="125"/>
    </row>
    <row r="83" spans="1:5">
      <c r="A83" s="125"/>
      <c r="B83" s="125"/>
      <c r="C83" s="125"/>
      <c r="D83" s="125"/>
      <c r="E83" s="125"/>
    </row>
  </sheetData>
  <mergeCells count="13">
    <mergeCell ref="E38:E43"/>
    <mergeCell ref="E44:E49"/>
    <mergeCell ref="A5:F5"/>
    <mergeCell ref="E8:E13"/>
    <mergeCell ref="E14:E19"/>
    <mergeCell ref="E20:E25"/>
    <mergeCell ref="E26:E36"/>
    <mergeCell ref="E50:E53"/>
    <mergeCell ref="E54:E74"/>
    <mergeCell ref="E75:E76"/>
    <mergeCell ref="C77:C78"/>
    <mergeCell ref="D77:D78"/>
    <mergeCell ref="E77:E78"/>
  </mergeCells>
  <phoneticPr fontId="10" type="noConversion"/>
  <pageMargins left="0.74803149606299213" right="0.74803149606299213" top="0" bottom="0" header="0.31496062992125984" footer="0.31496062992125984"/>
  <pageSetup scale="86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5:E16"/>
  <sheetViews>
    <sheetView showGridLines="0" zoomScale="85" zoomScaleNormal="85" workbookViewId="0"/>
  </sheetViews>
  <sheetFormatPr defaultRowHeight="12.75"/>
  <cols>
    <col min="1" max="1" width="14.28515625" customWidth="1"/>
    <col min="2" max="2" width="39.5703125" customWidth="1"/>
    <col min="3" max="3" width="54.28515625" customWidth="1"/>
    <col min="4" max="4" width="22.140625" customWidth="1"/>
    <col min="5" max="5" width="49.42578125" customWidth="1"/>
  </cols>
  <sheetData>
    <row r="5" spans="1:5" ht="18">
      <c r="A5" s="169" t="s">
        <v>363</v>
      </c>
      <c r="B5" s="169"/>
      <c r="C5" s="169"/>
      <c r="D5" s="169"/>
      <c r="E5" s="169"/>
    </row>
    <row r="7" spans="1:5" ht="13.5" thickBot="1"/>
    <row r="8" spans="1:5" s="7" customFormat="1" ht="31.5" customHeight="1" thickTop="1" thickBot="1">
      <c r="A8" s="56" t="s">
        <v>318</v>
      </c>
      <c r="B8" s="56" t="s">
        <v>319</v>
      </c>
      <c r="C8" s="56" t="s">
        <v>316</v>
      </c>
      <c r="D8" s="56" t="s">
        <v>317</v>
      </c>
      <c r="E8" s="52" t="s">
        <v>320</v>
      </c>
    </row>
    <row r="9" spans="1:5" ht="49.5" customHeight="1" thickTop="1">
      <c r="A9" s="134" t="s">
        <v>161</v>
      </c>
      <c r="B9" s="134" t="s">
        <v>162</v>
      </c>
      <c r="C9" s="136" t="s">
        <v>163</v>
      </c>
      <c r="D9" s="136" t="s">
        <v>167</v>
      </c>
      <c r="E9" s="182" t="s">
        <v>171</v>
      </c>
    </row>
    <row r="10" spans="1:5" ht="15">
      <c r="A10" s="150"/>
      <c r="B10" s="150"/>
      <c r="C10" s="139" t="s">
        <v>164</v>
      </c>
      <c r="D10" s="139" t="s">
        <v>168</v>
      </c>
      <c r="E10" s="183"/>
    </row>
    <row r="11" spans="1:5" ht="15">
      <c r="A11" s="150"/>
      <c r="B11" s="140"/>
      <c r="C11" s="139" t="s">
        <v>165</v>
      </c>
      <c r="D11" s="139" t="s">
        <v>169</v>
      </c>
      <c r="E11" s="183"/>
    </row>
    <row r="12" spans="1:5" ht="15">
      <c r="A12" s="150"/>
      <c r="B12" s="140"/>
      <c r="C12" s="139"/>
      <c r="D12" s="151"/>
      <c r="E12" s="183"/>
    </row>
    <row r="13" spans="1:5" ht="15">
      <c r="A13" s="150"/>
      <c r="B13" s="140"/>
      <c r="C13" s="139" t="s">
        <v>166</v>
      </c>
      <c r="D13" s="139" t="s">
        <v>170</v>
      </c>
      <c r="E13" s="183"/>
    </row>
    <row r="14" spans="1:5">
      <c r="A14" s="150"/>
      <c r="B14" s="140"/>
      <c r="C14" s="150"/>
      <c r="D14" s="150"/>
      <c r="E14" s="183"/>
    </row>
    <row r="15" spans="1:5" ht="13.5" thickBot="1">
      <c r="A15" s="152"/>
      <c r="B15" s="142"/>
      <c r="C15" s="152"/>
      <c r="D15" s="152"/>
      <c r="E15" s="184"/>
    </row>
    <row r="16" spans="1:5" ht="13.5" thickTop="1"/>
  </sheetData>
  <mergeCells count="2">
    <mergeCell ref="A5:E5"/>
    <mergeCell ref="E9:E15"/>
  </mergeCells>
  <phoneticPr fontId="10" type="noConversion"/>
  <pageMargins left="0.78740157480314965" right="0.75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7</vt:i4>
      </vt:variant>
      <vt:variant>
        <vt:lpstr>Intervalos com nome</vt:lpstr>
      </vt:variant>
      <vt:variant>
        <vt:i4>5</vt:i4>
      </vt:variant>
    </vt:vector>
  </HeadingPairs>
  <TitlesOfParts>
    <vt:vector size="12" baseType="lpstr">
      <vt:lpstr>Ementas 1º período</vt:lpstr>
      <vt:lpstr>1 FTCarne</vt:lpstr>
      <vt:lpstr>2 FTPeixe</vt:lpstr>
      <vt:lpstr>3 FTSopas</vt:lpstr>
      <vt:lpstr>4 FTAcompanhamento</vt:lpstr>
      <vt:lpstr>5 FTsobremesas</vt:lpstr>
      <vt:lpstr>6 FTsaladas&amp;legumes</vt:lpstr>
      <vt:lpstr>'1 FTCarne'!Área_de_Impressão</vt:lpstr>
      <vt:lpstr>'Ementas 1º período'!Área_de_Impressão</vt:lpstr>
      <vt:lpstr>'1 FTCarne'!Títulos_de_Impressão</vt:lpstr>
      <vt:lpstr>'2 FTPeixe'!Títulos_de_Impressão</vt:lpstr>
      <vt:lpstr>'Ementas 1º período'!Títulos_de_Impressão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GS-José Reis</dc:creator>
  <cp:lastModifiedBy>Professor</cp:lastModifiedBy>
  <cp:lastPrinted>2017-09-08T15:12:23Z</cp:lastPrinted>
  <dcterms:created xsi:type="dcterms:W3CDTF">2012-10-19T14:09:22Z</dcterms:created>
  <dcterms:modified xsi:type="dcterms:W3CDTF">2017-12-11T11:27:59Z</dcterms:modified>
</cp:coreProperties>
</file>